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/>
  </bookViews>
  <sheets>
    <sheet name="国保税試算表" sheetId="3" r:id="rId1"/>
    <sheet name="各種資料の確認箇所" sheetId="1" r:id="rId2"/>
    <sheet name="計算用" sheetId="6" state="hidden" r:id="rId3"/>
    <sheet name="マスタ管理" sheetId="2" state="hidden" r:id="rId4"/>
    <sheet name="リスト" sheetId="5" state="hidden" r:id="rId5"/>
  </sheets>
  <definedNames>
    <definedName name="_xlnm.Print_Area" localSheetId="3">マスタ管理!$A$1:$F$125</definedName>
    <definedName name="_xlnm.Print_Titles" localSheetId="3">マスタ管理!$1:$1</definedName>
    <definedName name="_xlnm.Print_Area" localSheetId="0">国保税試算表!$B$1:$AO$46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26" authorId="0">
      <text>
        <r>
          <rPr>
            <b/>
            <sz val="9"/>
            <color indexed="81"/>
            <rFont val="MS P ゴシック"/>
          </rPr>
          <t>文字列は参照しませんが、
計算式の表示上入力しています。
計算式は、「国保試算表」に含まれています。</t>
        </r>
      </text>
    </comment>
    <comment ref="E26" authorId="0">
      <text>
        <r>
          <rPr>
            <b/>
            <sz val="9"/>
            <color indexed="81"/>
            <rFont val="MS P ゴシック"/>
          </rPr>
          <t>文字列は参照しませんが、
計算式の表示上入力しています。
計算式は、「国保試算表」に含まれています。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<sst xmlns="http://schemas.openxmlformats.org/spreadsheetml/2006/main" xmlns:r="http://schemas.openxmlformats.org/officeDocument/2006/relationships" count="154" uniqueCount="154">
  <si>
    <t>源泉徴収票の「支払金額」の合計</t>
    <rPh sb="0" eb="2">
      <t>げんせん</t>
    </rPh>
    <rPh sb="2" eb="5">
      <t>ちょうしゅうひょう</t>
    </rPh>
    <rPh sb="7" eb="9">
      <t>しはらい</t>
    </rPh>
    <rPh sb="9" eb="11">
      <t>きんがく</t>
    </rPh>
    <rPh sb="13" eb="15">
      <t>ごうけい</t>
    </rPh>
    <phoneticPr fontId="1" type="Hiragana"/>
  </si>
  <si>
    <t>年税額</t>
    <rPh sb="0" eb="3">
      <t>ねんぜいがく</t>
    </rPh>
    <phoneticPr fontId="1" type="Hiragana"/>
  </si>
  <si>
    <t>非該当</t>
    <rPh sb="0" eb="3">
      <t>ひがいとう</t>
    </rPh>
    <phoneticPr fontId="1" type="Hiragana"/>
  </si>
  <si>
    <t>加入者</t>
    <rPh sb="0" eb="3">
      <t>かにゅうしゃ</t>
    </rPh>
    <phoneticPr fontId="1" type="Hiragana"/>
  </si>
  <si>
    <t>税率</t>
    <rPh sb="0" eb="2">
      <t>ぜいりつ</t>
    </rPh>
    <phoneticPr fontId="1" type="Hiragana"/>
  </si>
  <si>
    <t>年齢</t>
    <rPh sb="0" eb="2">
      <t>ねんれい</t>
    </rPh>
    <phoneticPr fontId="1" type="Hiragana"/>
  </si>
  <si>
    <t>１年間の国民健康保険税額は、</t>
    <rPh sb="1" eb="3">
      <t>ねんかん</t>
    </rPh>
    <rPh sb="4" eb="6">
      <t>こくみん</t>
    </rPh>
    <rPh sb="6" eb="8">
      <t>けんこう</t>
    </rPh>
    <rPh sb="8" eb="10">
      <t>ほけん</t>
    </rPh>
    <rPh sb="10" eb="12">
      <t>ぜいがく</t>
    </rPh>
    <phoneticPr fontId="1" type="Hiragana"/>
  </si>
  <si>
    <t>年金収入（以上）円</t>
    <rPh sb="0" eb="4">
      <t>ねんきんしゅうにゅう</t>
    </rPh>
    <rPh sb="5" eb="7">
      <t>いじょう</t>
    </rPh>
    <rPh sb="8" eb="9">
      <t>えん</t>
    </rPh>
    <phoneticPr fontId="1" type="Hiragana"/>
  </si>
  <si>
    <t>課税標準額</t>
    <rPh sb="0" eb="2">
      <t>かぜい</t>
    </rPh>
    <rPh sb="2" eb="5">
      <t>ひょうじゅんがく</t>
    </rPh>
    <phoneticPr fontId="1" type="Hiragana"/>
  </si>
  <si>
    <t>所得金額の④一時</t>
    <rPh sb="0" eb="2">
      <t>しょとく</t>
    </rPh>
    <rPh sb="2" eb="4">
      <t>きんがく</t>
    </rPh>
    <rPh sb="6" eb="8">
      <t>いちじ</t>
    </rPh>
    <phoneticPr fontId="1" type="Hiragana"/>
  </si>
  <si>
    <t>非自発的失業</t>
    <rPh sb="0" eb="1">
      <t>ひ</t>
    </rPh>
    <rPh sb="1" eb="3">
      <t>じはつ</t>
    </rPh>
    <rPh sb="3" eb="4">
      <t>てき</t>
    </rPh>
    <rPh sb="4" eb="6">
      <t>しつぎょう</t>
    </rPh>
    <phoneticPr fontId="1" type="Hiragana"/>
  </si>
  <si>
    <t>給与収入</t>
    <rPh sb="0" eb="2">
      <t>きゅうよ</t>
    </rPh>
    <rPh sb="2" eb="4">
      <t>しゅうにゅう</t>
    </rPh>
    <phoneticPr fontId="1" type="Hiragana"/>
  </si>
  <si>
    <t>区分種別</t>
    <rPh sb="0" eb="2">
      <t>くぶん</t>
    </rPh>
    <rPh sb="2" eb="4">
      <t>しゅべつ</t>
    </rPh>
    <phoneticPr fontId="1" type="Hiragana"/>
  </si>
  <si>
    <t>氏名</t>
    <rPh sb="0" eb="2">
      <t>しめい</t>
    </rPh>
    <phoneticPr fontId="1" type="Hiragana"/>
  </si>
  <si>
    <t>（２）</t>
  </si>
  <si>
    <t>公的年金収入</t>
    <rPh sb="0" eb="2">
      <t>こうてき</t>
    </rPh>
    <rPh sb="2" eb="4">
      <t>ねんきん</t>
    </rPh>
    <rPh sb="4" eb="6">
      <t>しゅうにゅう</t>
    </rPh>
    <phoneticPr fontId="1" type="Hiragana"/>
  </si>
  <si>
    <t>収入金額等の「㋐給与」</t>
  </si>
  <si>
    <t>②</t>
  </si>
  <si>
    <t>収入金額等の㋑公的年金等</t>
    <rPh sb="7" eb="9">
      <t>こうてき</t>
    </rPh>
    <rPh sb="9" eb="11">
      <t>ねんきん</t>
    </rPh>
    <rPh sb="11" eb="12">
      <t>とう</t>
    </rPh>
    <phoneticPr fontId="1" type="Hiragana"/>
  </si>
  <si>
    <t>未就学児軽減</t>
    <rPh sb="0" eb="4">
      <t>みしゅうがくじ</t>
    </rPh>
    <rPh sb="4" eb="6">
      <t>けいげん</t>
    </rPh>
    <phoneticPr fontId="1" type="Hiragana"/>
  </si>
  <si>
    <t>その他所得</t>
    <rPh sb="2" eb="3">
      <t>た</t>
    </rPh>
    <rPh sb="3" eb="5">
      <t>しょとく</t>
    </rPh>
    <phoneticPr fontId="1" type="Hiragana"/>
  </si>
  <si>
    <t>支援分</t>
    <rPh sb="0" eb="2">
      <t>しえん</t>
    </rPh>
    <rPh sb="2" eb="3">
      <t>ぶん</t>
    </rPh>
    <phoneticPr fontId="1" type="Hiragana"/>
  </si>
  <si>
    <t>Ⅰ.</t>
  </si>
  <si>
    <t>➢</t>
  </si>
  <si>
    <t>軽減区分</t>
    <rPh sb="0" eb="2">
      <t>けいげん</t>
    </rPh>
    <rPh sb="2" eb="4">
      <t>くぶん</t>
    </rPh>
    <phoneticPr fontId="1" type="Hiragana"/>
  </si>
  <si>
    <t>勤務先で年末調整し、
確定申告していない方</t>
  </si>
  <si>
    <t>収入金額等の㋐給与</t>
  </si>
  <si>
    <t>所得金額の③配当</t>
    <rPh sb="0" eb="2">
      <t>しょとく</t>
    </rPh>
    <rPh sb="2" eb="4">
      <t>きんがく</t>
    </rPh>
    <rPh sb="6" eb="8">
      <t>はいとう</t>
    </rPh>
    <phoneticPr fontId="1" type="Hiragana"/>
  </si>
  <si>
    <t>該当</t>
    <rPh sb="0" eb="2">
      <t>がいとう</t>
    </rPh>
    <phoneticPr fontId="1" type="Hiragana"/>
  </si>
  <si>
    <t>判定結果</t>
    <rPh sb="0" eb="4">
      <t>ハンテイケッカ</t>
    </rPh>
    <phoneticPr fontId="1"/>
  </si>
  <si>
    <t>国保加入状況</t>
    <rPh sb="0" eb="2">
      <t>こくほ</t>
    </rPh>
    <rPh sb="2" eb="4">
      <t>かにゅう</t>
    </rPh>
    <rPh sb="4" eb="6">
      <t>じょうきょう</t>
    </rPh>
    <phoneticPr fontId="1" type="Hiragana"/>
  </si>
  <si>
    <t xml:space="preserve"> 円です。</t>
    <rPh sb="1" eb="2">
      <t>えん</t>
    </rPh>
    <phoneticPr fontId="1" type="Hiragana"/>
  </si>
  <si>
    <t>【税額】</t>
    <rPh sb="1" eb="3">
      <t>ぜいがく</t>
    </rPh>
    <phoneticPr fontId="1" type="Hiragana"/>
  </si>
  <si>
    <t>被保険者数</t>
    <rPh sb="0" eb="4">
      <t>ひほけんしゃ</t>
    </rPh>
    <rPh sb="4" eb="5">
      <t>すう</t>
    </rPh>
    <phoneticPr fontId="1" type="Hiragana"/>
  </si>
  <si>
    <t>課税所得額</t>
    <rPh sb="0" eb="2">
      <t>かぜい</t>
    </rPh>
    <rPh sb="2" eb="5">
      <t>しょとくがく</t>
    </rPh>
    <phoneticPr fontId="1" type="Hiragana"/>
  </si>
  <si>
    <t>対象者（○歳以上）</t>
    <rPh sb="0" eb="3">
      <t>たいしょうしゃ</t>
    </rPh>
    <rPh sb="5" eb="8">
      <t>さいいじょう</t>
    </rPh>
    <phoneticPr fontId="1" type="Hiragana"/>
  </si>
  <si>
    <r>
      <t>同じ世帯のうち</t>
    </r>
    <r>
      <rPr>
        <u/>
        <sz val="11"/>
        <color theme="1"/>
        <rFont val="HGP明朝E"/>
      </rPr>
      <t>75歳</t>
    </r>
    <r>
      <rPr>
        <sz val="11"/>
        <color theme="1"/>
        <rFont val="HGP明朝E"/>
      </rPr>
      <t>になったことにより、</t>
    </r>
    <r>
      <rPr>
        <u/>
        <sz val="11"/>
        <color theme="1"/>
        <rFont val="HGP明朝E"/>
      </rPr>
      <t>国民健康保険から後期高齢者医療制度に移行された方（旧国保被保険者）</t>
    </r>
    <r>
      <rPr>
        <sz val="11"/>
        <color theme="1"/>
        <rFont val="HGP明朝E"/>
      </rPr>
      <t>の人数を入力してください。</t>
    </r>
    <rPh sb="0" eb="1">
      <t>おな</t>
    </rPh>
    <rPh sb="2" eb="4">
      <t>せたい</t>
    </rPh>
    <rPh sb="9" eb="10">
      <t>さい</t>
    </rPh>
    <rPh sb="20" eb="22">
      <t>こくみん</t>
    </rPh>
    <rPh sb="22" eb="24">
      <t>けんこう</t>
    </rPh>
    <rPh sb="24" eb="26">
      <t>ほけん</t>
    </rPh>
    <rPh sb="28" eb="30">
      <t>こうき</t>
    </rPh>
    <rPh sb="30" eb="33">
      <t>こうれいしゃ</t>
    </rPh>
    <rPh sb="33" eb="35">
      <t>いりょう</t>
    </rPh>
    <rPh sb="35" eb="37">
      <t>せいど</t>
    </rPh>
    <rPh sb="38" eb="40">
      <t>いこう</t>
    </rPh>
    <rPh sb="43" eb="44">
      <t>かた</t>
    </rPh>
    <rPh sb="45" eb="48">
      <t>きゅうこくほ</t>
    </rPh>
    <rPh sb="48" eb="52">
      <t>ひほけんしゃ</t>
    </rPh>
    <rPh sb="54" eb="56">
      <t>にんずう</t>
    </rPh>
    <rPh sb="57" eb="59">
      <t>にゅうりょく</t>
    </rPh>
    <phoneticPr fontId="1" type="Hiragana"/>
  </si>
  <si>
    <t>介護分</t>
    <rPh sb="0" eb="2">
      <t>かいご</t>
    </rPh>
    <rPh sb="2" eb="3">
      <t>ぶん</t>
    </rPh>
    <phoneticPr fontId="1" type="Hiragana"/>
  </si>
  <si>
    <t>所得割</t>
    <rPh sb="0" eb="3">
      <t>しょとくわり</t>
    </rPh>
    <phoneticPr fontId="1" type="Hiragana"/>
  </si>
  <si>
    <t>均等割</t>
    <rPh sb="0" eb="3">
      <t>きんとうわり</t>
    </rPh>
    <phoneticPr fontId="1" type="Hiragana"/>
  </si>
  <si>
    <t>人</t>
    <rPh sb="0" eb="1">
      <t>にん</t>
    </rPh>
    <phoneticPr fontId="1" type="Hiragana"/>
  </si>
  <si>
    <t>平等割</t>
    <rPh sb="0" eb="3">
      <t>びょうどうわり</t>
    </rPh>
    <phoneticPr fontId="1" type="Hiragana"/>
  </si>
  <si>
    <t>医療分</t>
    <rPh sb="0" eb="2">
      <t>いりょう</t>
    </rPh>
    <rPh sb="2" eb="3">
      <t>ぶん</t>
    </rPh>
    <phoneticPr fontId="1" type="Hiragana"/>
  </si>
  <si>
    <t>年齢区分</t>
    <rPh sb="0" eb="2">
      <t>ねんれい</t>
    </rPh>
    <rPh sb="2" eb="4">
      <t>くぶん</t>
    </rPh>
    <phoneticPr fontId="1" type="Hiragana"/>
  </si>
  <si>
    <t>所得金額の「④一時」</t>
    <rPh sb="0" eb="2">
      <t>しょとく</t>
    </rPh>
    <rPh sb="2" eb="4">
      <t>きんがく</t>
    </rPh>
    <rPh sb="7" eb="9">
      <t>いちじ</t>
    </rPh>
    <phoneticPr fontId="1" type="Hiragana"/>
  </si>
  <si>
    <t>0歳～74歳まで</t>
    <rPh sb="1" eb="2">
      <t>さい</t>
    </rPh>
    <rPh sb="5" eb="6">
      <t>さい</t>
    </rPh>
    <phoneticPr fontId="1" type="Hiragana"/>
  </si>
  <si>
    <t>40歳～64歳まで</t>
    <rPh sb="2" eb="3">
      <t>さい</t>
    </rPh>
    <rPh sb="6" eb="7">
      <t>さい</t>
    </rPh>
    <phoneticPr fontId="1" type="Hiragana"/>
  </si>
  <si>
    <t>【世帯情報】</t>
    <rPh sb="1" eb="3">
      <t>せたい</t>
    </rPh>
    <rPh sb="3" eb="5">
      <t>じょうほう</t>
    </rPh>
    <phoneticPr fontId="1" type="Hiragana"/>
  </si>
  <si>
    <t>源泉徴収票の「支払金額」</t>
    <rPh sb="0" eb="2">
      <t>げんせん</t>
    </rPh>
    <rPh sb="2" eb="5">
      <t>ちょうしゅうひょう</t>
    </rPh>
    <rPh sb="7" eb="9">
      <t>しはらい</t>
    </rPh>
    <rPh sb="9" eb="11">
      <t>きんがく</t>
    </rPh>
    <phoneticPr fontId="1" type="Hiragana"/>
  </si>
  <si>
    <t>世帯合計額</t>
    <rPh sb="0" eb="2">
      <t>せたい</t>
    </rPh>
    <rPh sb="2" eb="5">
      <t>ごうけいがく</t>
    </rPh>
    <phoneticPr fontId="1" type="Hiragana"/>
  </si>
  <si>
    <t>【年税額詳細】</t>
    <rPh sb="1" eb="4">
      <t>ねんぜいがく</t>
    </rPh>
    <rPh sb="4" eb="6">
      <t>しょうさい</t>
    </rPh>
    <phoneticPr fontId="1" type="Hiragana"/>
  </si>
  <si>
    <t>確定申告をした方</t>
    <rPh sb="0" eb="2">
      <t>かくてい</t>
    </rPh>
    <rPh sb="2" eb="4">
      <t>しんこく</t>
    </rPh>
    <rPh sb="7" eb="8">
      <t>かた</t>
    </rPh>
    <phoneticPr fontId="1" type="Hiragana"/>
  </si>
  <si>
    <t>国保試算表の｢公的年金収入｣に入力してください。</t>
    <rPh sb="0" eb="2">
      <t>こくほ</t>
    </rPh>
    <rPh sb="2" eb="5">
      <t>しさんひょう</t>
    </rPh>
    <rPh sb="7" eb="9">
      <t>こうてき</t>
    </rPh>
    <rPh sb="9" eb="11">
      <t>ねんきん</t>
    </rPh>
    <rPh sb="11" eb="13">
      <t>しゅうにゅう</t>
    </rPh>
    <rPh sb="15" eb="17">
      <t>にゅうりょく</t>
    </rPh>
    <phoneticPr fontId="1" type="Hiragana"/>
  </si>
  <si>
    <t>給与所得
（所得割②）</t>
    <rPh sb="6" eb="8">
      <t>ショトク</t>
    </rPh>
    <rPh sb="8" eb="9">
      <t>ワリ</t>
    </rPh>
    <phoneticPr fontId="1"/>
  </si>
  <si>
    <t>課税所得額</t>
    <rPh sb="0" eb="2">
      <t>かぜい</t>
    </rPh>
    <rPh sb="2" eb="4">
      <t>しょとく</t>
    </rPh>
    <rPh sb="4" eb="5">
      <t>がく</t>
    </rPh>
    <phoneticPr fontId="1" type="Hiragana"/>
  </si>
  <si>
    <t>収入金額等の「㋑公的年金等」</t>
    <rPh sb="8" eb="10">
      <t>こうてき</t>
    </rPh>
    <rPh sb="10" eb="12">
      <t>ねんきん</t>
    </rPh>
    <rPh sb="12" eb="13">
      <t>とう</t>
    </rPh>
    <phoneticPr fontId="1" type="Hiragana"/>
  </si>
  <si>
    <t>【公的年金等の源泉徴収票】</t>
    <rPh sb="1" eb="3">
      <t>こうてき</t>
    </rPh>
    <rPh sb="3" eb="5">
      <t>ねんきん</t>
    </rPh>
    <rPh sb="5" eb="6">
      <t>とう</t>
    </rPh>
    <rPh sb="7" eb="9">
      <t>げんせん</t>
    </rPh>
    <rPh sb="9" eb="11">
      <t>ちょうしゅう</t>
    </rPh>
    <rPh sb="11" eb="12">
      <t>ひょう</t>
    </rPh>
    <phoneticPr fontId="1" type="Hiragana"/>
  </si>
  <si>
    <t>7割軽減</t>
    <rPh sb="1" eb="4">
      <t>わりけいげん</t>
    </rPh>
    <phoneticPr fontId="1" type="Hiragana"/>
  </si>
  <si>
    <t>左記の合計額を国保試算表の「その他の所得」に入力してください。</t>
    <rPh sb="0" eb="2">
      <t>さき</t>
    </rPh>
    <rPh sb="3" eb="6">
      <t>ごうけいがく</t>
    </rPh>
    <rPh sb="7" eb="9">
      <t>こくほ</t>
    </rPh>
    <rPh sb="9" eb="12">
      <t>しさんひょう</t>
    </rPh>
    <rPh sb="16" eb="17">
      <t>た</t>
    </rPh>
    <rPh sb="18" eb="20">
      <t>しょとく</t>
    </rPh>
    <rPh sb="22" eb="24">
      <t>にゅうりょく</t>
    </rPh>
    <phoneticPr fontId="1" type="Hiragana"/>
  </si>
  <si>
    <t>世帯主</t>
    <rPh sb="0" eb="3">
      <t>せたいぬし</t>
    </rPh>
    <phoneticPr fontId="1" type="Hiragana"/>
  </si>
  <si>
    <t>擬制世帯主</t>
    <rPh sb="0" eb="2">
      <t>ぎせい</t>
    </rPh>
    <rPh sb="2" eb="5">
      <t>せたいぬし</t>
    </rPh>
    <phoneticPr fontId="1" type="Hiragana"/>
  </si>
  <si>
    <t>国保試算表の｢給与収入｣に入力してください。</t>
    <rPh sb="0" eb="2">
      <t>こくほ</t>
    </rPh>
    <rPh sb="2" eb="5">
      <t>しさんひょう</t>
    </rPh>
    <rPh sb="7" eb="9">
      <t>きゅうよ</t>
    </rPh>
    <rPh sb="9" eb="11">
      <t>しゅうにゅう</t>
    </rPh>
    <rPh sb="13" eb="15">
      <t>にゅうりょく</t>
    </rPh>
    <phoneticPr fontId="1" type="Hiragana"/>
  </si>
  <si>
    <t>Ⅱ.</t>
  </si>
  <si>
    <t>Ⅲ.</t>
  </si>
  <si>
    <t>収入金額等「その他」の分</t>
  </si>
  <si>
    <t>所得金額の②雑のうち、</t>
    <rPh sb="0" eb="2">
      <t>しょとく</t>
    </rPh>
    <rPh sb="2" eb="4">
      <t>きんがく</t>
    </rPh>
    <rPh sb="6" eb="7">
      <t>ざつ</t>
    </rPh>
    <phoneticPr fontId="1" type="Hiragana"/>
  </si>
  <si>
    <t>給与所得者等
の該当</t>
    <rPh sb="0" eb="5">
      <t>きゅうよしょとくしゃ</t>
    </rPh>
    <rPh sb="5" eb="6">
      <t>とう</t>
    </rPh>
    <rPh sb="8" eb="10">
      <t>がいとう</t>
    </rPh>
    <phoneticPr fontId="1" type="Hiragana"/>
  </si>
  <si>
    <t>所得金額の「②雑」のうち、</t>
    <rPh sb="0" eb="2">
      <t>しょとく</t>
    </rPh>
    <rPh sb="2" eb="4">
      <t>きんがく</t>
    </rPh>
    <rPh sb="7" eb="8">
      <t>ざつ</t>
    </rPh>
    <phoneticPr fontId="1" type="Hiragana"/>
  </si>
  <si>
    <t>（１）</t>
  </si>
  <si>
    <t>給与所得
（所得割①）</t>
    <rPh sb="6" eb="8">
      <t>ショトク</t>
    </rPh>
    <rPh sb="8" eb="9">
      <t>ワリ</t>
    </rPh>
    <phoneticPr fontId="1"/>
  </si>
  <si>
    <r>
      <t>の箇所に</t>
    </r>
    <r>
      <rPr>
        <u/>
        <sz val="11"/>
        <color theme="1"/>
        <rFont val="HGP明朝E"/>
      </rPr>
      <t>世帯主（擬制世帯主を含む）</t>
    </r>
    <r>
      <rPr>
        <sz val="11"/>
        <color theme="1"/>
        <rFont val="HGP明朝E"/>
      </rPr>
      <t>と</t>
    </r>
    <r>
      <rPr>
        <u/>
        <sz val="11"/>
        <color theme="1"/>
        <rFont val="HGP明朝E"/>
      </rPr>
      <t>国民健康保険加入者</t>
    </r>
    <r>
      <rPr>
        <sz val="11"/>
        <color theme="1"/>
        <rFont val="HGP明朝E"/>
      </rPr>
      <t>の情報を入力してください。</t>
    </r>
    <rPh sb="1" eb="3">
      <t>かしょ</t>
    </rPh>
    <rPh sb="4" eb="6">
      <t>せたい</t>
    </rPh>
    <rPh sb="6" eb="7">
      <t>ぬし</t>
    </rPh>
    <rPh sb="8" eb="10">
      <t>ぎせい</t>
    </rPh>
    <rPh sb="10" eb="13">
      <t>せたいぬし</t>
    </rPh>
    <rPh sb="14" eb="15">
      <t>ふく</t>
    </rPh>
    <rPh sb="18" eb="20">
      <t>こくみん</t>
    </rPh>
    <rPh sb="20" eb="22">
      <t>けんこう</t>
    </rPh>
    <rPh sb="22" eb="24">
      <t>ほけん</t>
    </rPh>
    <rPh sb="24" eb="27">
      <t>かにゅうしゃ</t>
    </rPh>
    <rPh sb="28" eb="30">
      <t>じょうほう</t>
    </rPh>
    <rPh sb="31" eb="33">
      <t>にゅうりょく</t>
    </rPh>
    <phoneticPr fontId="1" type="Hiragana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</si>
  <si>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スウ</t>
    </rPh>
    <phoneticPr fontId="1"/>
  </si>
  <si>
    <t>①</t>
  </si>
  <si>
    <t>③</t>
  </si>
  <si>
    <t>所得金額の「③配当」</t>
    <rPh sb="0" eb="2">
      <t>しょとく</t>
    </rPh>
    <rPh sb="2" eb="4">
      <t>きんがく</t>
    </rPh>
    <rPh sb="7" eb="9">
      <t>はいとう</t>
    </rPh>
    <phoneticPr fontId="1" type="Hiragana"/>
  </si>
  <si>
    <t>【給与の源泉徴収票】</t>
    <rPh sb="1" eb="3">
      <t>きゅうよ</t>
    </rPh>
    <rPh sb="4" eb="6">
      <t>げんせん</t>
    </rPh>
    <rPh sb="6" eb="9">
      <t>ちょうしゅうひょう</t>
    </rPh>
    <phoneticPr fontId="1" type="Hiragana"/>
  </si>
  <si>
    <t>国保試算各種情報管理マスタ</t>
    <rPh sb="0" eb="2">
      <t>こくほ</t>
    </rPh>
    <rPh sb="2" eb="4">
      <t>しさん</t>
    </rPh>
    <rPh sb="4" eb="6">
      <t>かくしゅ</t>
    </rPh>
    <rPh sb="6" eb="8">
      <t>じょうほう</t>
    </rPh>
    <rPh sb="8" eb="10">
      <t>かんり</t>
    </rPh>
    <phoneticPr fontId="1" type="Hiragana"/>
  </si>
  <si>
    <t>限度額</t>
    <rPh sb="0" eb="3">
      <t>げんどがく</t>
    </rPh>
    <phoneticPr fontId="1" type="Hiragana"/>
  </si>
  <si>
    <t>支援分</t>
    <rPh sb="0" eb="3">
      <t>しえんぶん</t>
    </rPh>
    <phoneticPr fontId="1" type="Hiragana"/>
  </si>
  <si>
    <t>介護分</t>
    <rPh sb="0" eb="3">
      <t>かいごぶん</t>
    </rPh>
    <phoneticPr fontId="1" type="Hiragana"/>
  </si>
  <si>
    <t>計</t>
    <rPh sb="0" eb="1">
      <t>けい</t>
    </rPh>
    <phoneticPr fontId="1" type="Hiragana"/>
  </si>
  <si>
    <t>計算式</t>
    <rPh sb="0" eb="3">
      <t>けいさんしき</t>
    </rPh>
    <phoneticPr fontId="1" type="Hiragana"/>
  </si>
  <si>
    <t>☆確定申告の手引き参照</t>
    <rPh sb="1" eb="5">
      <t>かくていしんこく</t>
    </rPh>
    <rPh sb="6" eb="8">
      <t>てび</t>
    </rPh>
    <rPh sb="9" eb="11">
      <t>さんしょう</t>
    </rPh>
    <phoneticPr fontId="1" type="Hiragana"/>
  </si>
  <si>
    <t xml:space="preserve">　 </t>
  </si>
  <si>
    <t>給与収入（以上）円</t>
    <rPh sb="0" eb="2">
      <t>きゅうよ</t>
    </rPh>
    <rPh sb="2" eb="4">
      <t>しゅうにゅう</t>
    </rPh>
    <rPh sb="5" eb="7">
      <t>いじょう</t>
    </rPh>
    <rPh sb="8" eb="9">
      <t>えん</t>
    </rPh>
    <phoneticPr fontId="1" type="Hiragana"/>
  </si>
  <si>
    <t>給与収入（以下）円</t>
    <rPh sb="0" eb="4">
      <t>きゅうよしゅうにゅう</t>
    </rPh>
    <rPh sb="5" eb="7">
      <t>いか</t>
    </rPh>
    <rPh sb="8" eb="9">
      <t>えん</t>
    </rPh>
    <phoneticPr fontId="1" type="Hiragana"/>
  </si>
  <si>
    <t>年金収入（以下）円</t>
    <rPh sb="0" eb="4">
      <t>ねんきんしゅうにゅう</t>
    </rPh>
    <rPh sb="5" eb="7">
      <t>いか</t>
    </rPh>
    <rPh sb="8" eb="9">
      <t>えん</t>
    </rPh>
    <phoneticPr fontId="1" type="Hiragana"/>
  </si>
  <si>
    <t>2,000万円未満</t>
    <rPh sb="5" eb="6">
      <t>まん</t>
    </rPh>
    <rPh sb="6" eb="7">
      <t>えん</t>
    </rPh>
    <rPh sb="7" eb="9">
      <t>みまん</t>
    </rPh>
    <phoneticPr fontId="1" type="Hiragana"/>
  </si>
  <si>
    <t>2,000万円以上</t>
    <rPh sb="5" eb="6">
      <t>まん</t>
    </rPh>
    <rPh sb="6" eb="7">
      <t>えん</t>
    </rPh>
    <rPh sb="7" eb="9">
      <t>いじょう</t>
    </rPh>
    <phoneticPr fontId="1" type="Hiragana"/>
  </si>
  <si>
    <t>▽課税限度額</t>
    <rPh sb="1" eb="3">
      <t>かぜい</t>
    </rPh>
    <rPh sb="3" eb="6">
      <t>げんどがく</t>
    </rPh>
    <phoneticPr fontId="1" type="Hiragana"/>
  </si>
  <si>
    <t>▽給与所得計算</t>
    <rPh sb="1" eb="5">
      <t>きゅうよしょとく</t>
    </rPh>
    <rPh sb="5" eb="7">
      <t>けいさん</t>
    </rPh>
    <phoneticPr fontId="1" type="Hiragana"/>
  </si>
  <si>
    <t>▽公的年金所得計算</t>
    <rPh sb="1" eb="7">
      <t>こうてきねんきんしょとく</t>
    </rPh>
    <rPh sb="7" eb="9">
      <t>けいさん</t>
    </rPh>
    <phoneticPr fontId="1" type="Hiragana"/>
  </si>
  <si>
    <t>▽所得割</t>
    <rPh sb="1" eb="4">
      <t>しょとくわり</t>
    </rPh>
    <phoneticPr fontId="1" type="Hiragana"/>
  </si>
  <si>
    <t>▽均等割</t>
    <rPh sb="1" eb="4">
      <t>きんとうわ</t>
    </rPh>
    <phoneticPr fontId="1" type="Hiragana"/>
  </si>
  <si>
    <t>▽平等割</t>
    <rPh sb="1" eb="3">
      <t>びょうどう</t>
    </rPh>
    <rPh sb="3" eb="4">
      <t>わり</t>
    </rPh>
    <phoneticPr fontId="1" type="Hiragana"/>
  </si>
  <si>
    <t>▽軽減判定計算式</t>
    <rPh sb="1" eb="8">
      <t>けいげんはんていけいさんしき</t>
    </rPh>
    <phoneticPr fontId="1" type="Hiragana"/>
  </si>
  <si>
    <t>+(給与所得者の数-1)×</t>
  </si>
  <si>
    <t>+被保険者数×</t>
  </si>
  <si>
    <t>区分</t>
    <rPh sb="0" eb="2">
      <t>くぶん</t>
    </rPh>
    <phoneticPr fontId="1" type="Hiragana"/>
  </si>
  <si>
    <t>５割軽減</t>
    <rPh sb="1" eb="4">
      <t>わりけいげん</t>
    </rPh>
    <phoneticPr fontId="1" type="Hiragana"/>
  </si>
  <si>
    <t>７割軽減</t>
    <rPh sb="1" eb="2">
      <t>わり</t>
    </rPh>
    <rPh sb="2" eb="4">
      <t>けいげん</t>
    </rPh>
    <phoneticPr fontId="1" type="Hiragana"/>
  </si>
  <si>
    <t>未就学児範囲（未満）</t>
    <rPh sb="0" eb="4">
      <t>みしゅうがくじ</t>
    </rPh>
    <rPh sb="4" eb="6">
      <t>はんい</t>
    </rPh>
    <rPh sb="7" eb="9">
      <t>みまん</t>
    </rPh>
    <phoneticPr fontId="1" type="Hiragana"/>
  </si>
  <si>
    <t>２割軽減</t>
    <rPh sb="1" eb="4">
      <t>わりけいげん</t>
    </rPh>
    <phoneticPr fontId="1" type="Hiragana"/>
  </si>
  <si>
    <t>65以下＆1,000万以上2,000万未満</t>
    <rPh sb="2" eb="4">
      <t>イカ</t>
    </rPh>
    <rPh sb="10" eb="11">
      <t>マン</t>
    </rPh>
    <rPh sb="11" eb="13">
      <t>イジョウ</t>
    </rPh>
    <rPh sb="19" eb="21">
      <t>ミマン</t>
    </rPh>
    <phoneticPr fontId="1"/>
  </si>
  <si>
    <t>65以下＆
2,000万以上</t>
    <rPh sb="2" eb="4">
      <t>イカ</t>
    </rPh>
    <rPh sb="12" eb="14">
      <t>イジョウ</t>
    </rPh>
    <phoneticPr fontId="1"/>
  </si>
  <si>
    <t>65以下＆
1,000万以下</t>
    <rPh sb="2" eb="4">
      <t>イカ</t>
    </rPh>
    <rPh sb="11" eb="14">
      <t>マンイカ</t>
    </rPh>
    <phoneticPr fontId="1"/>
  </si>
  <si>
    <t>6４以下＆
2000万以上</t>
    <rPh sb="2" eb="4">
      <t>イカ</t>
    </rPh>
    <rPh sb="11" eb="13">
      <t>イジョウ</t>
    </rPh>
    <phoneticPr fontId="1"/>
  </si>
  <si>
    <t>6４以下＆
1,000万以上
2,000万未満</t>
    <rPh sb="2" eb="4">
      <t>イカ</t>
    </rPh>
    <rPh sb="11" eb="12">
      <t>マン</t>
    </rPh>
    <rPh sb="12" eb="14">
      <t>イジョウ</t>
    </rPh>
    <rPh sb="21" eb="23">
      <t>ミマン</t>
    </rPh>
    <phoneticPr fontId="1"/>
  </si>
  <si>
    <t>年齢</t>
    <rPh sb="0" eb="2">
      <t>ネンレイ</t>
    </rPh>
    <phoneticPr fontId="1"/>
  </si>
  <si>
    <t>6４以下＆
1,000万以下</t>
    <rPh sb="2" eb="4">
      <t>イカ</t>
    </rPh>
    <rPh sb="11" eb="14">
      <t>マンイカ</t>
    </rPh>
    <phoneticPr fontId="1"/>
  </si>
  <si>
    <t>収入（以上）</t>
    <rPh sb="0" eb="2">
      <t>シュウニュウ</t>
    </rPh>
    <rPh sb="3" eb="5">
      <t>イジョウ</t>
    </rPh>
    <phoneticPr fontId="1"/>
  </si>
  <si>
    <t>収入（以下）</t>
    <rPh sb="0" eb="2">
      <t>シュウニュウ</t>
    </rPh>
    <rPh sb="3" eb="5">
      <t>イカ</t>
    </rPh>
    <phoneticPr fontId="1"/>
  </si>
  <si>
    <t>2割軽減</t>
    <rPh sb="1" eb="2">
      <t>わり</t>
    </rPh>
    <rPh sb="2" eb="4">
      <t>けいげん</t>
    </rPh>
    <phoneticPr fontId="1" type="Hiragana"/>
  </si>
  <si>
    <t>-</t>
  </si>
  <si>
    <t>条件（IFS)</t>
    <rPh sb="0" eb="2">
      <t>ジョウケン</t>
    </rPh>
    <phoneticPr fontId="1"/>
  </si>
  <si>
    <t>条件（IFS)/
年金所得額</t>
    <rPh sb="0" eb="2">
      <t>ジョウケン</t>
    </rPh>
    <rPh sb="9" eb="14">
      <t>ネンキンショトクガク</t>
    </rPh>
    <phoneticPr fontId="1"/>
  </si>
  <si>
    <t>総所得金額等</t>
    <rPh sb="0" eb="3">
      <t>そうしょとく</t>
    </rPh>
    <rPh sb="3" eb="5">
      <t>きんがく</t>
    </rPh>
    <rPh sb="5" eb="6">
      <t>とう</t>
    </rPh>
    <phoneticPr fontId="1" type="Hiragana"/>
  </si>
  <si>
    <t>総所得
（軽減判定用）</t>
    <rPh sb="0" eb="3">
      <t>ソウショトク</t>
    </rPh>
    <phoneticPr fontId="1"/>
  </si>
  <si>
    <t>軽減判定</t>
    <rPh sb="0" eb="2">
      <t>ケイゲン</t>
    </rPh>
    <rPh sb="2" eb="4">
      <t>ハンテイ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</si>
  <si>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</si>
  <si>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旧国保被保険者数</t>
    <rPh sb="0" eb="3">
      <t>キュウコクホ</t>
    </rPh>
    <rPh sb="3" eb="8">
      <t>ヒホケンシャスウ</t>
    </rPh>
    <phoneticPr fontId="1"/>
  </si>
  <si>
    <t>被保険者数</t>
    <rPh sb="0" eb="5">
      <t>ヒホケンシャスウ</t>
    </rPh>
    <phoneticPr fontId="1"/>
  </si>
  <si>
    <t>歳以下</t>
    <rPh sb="0" eb="3">
      <t>さいいか</t>
    </rPh>
    <phoneticPr fontId="1" type="Hiragana"/>
  </si>
  <si>
    <t>歳以上</t>
    <rPh sb="0" eb="3">
      <t>さいいじょう</t>
    </rPh>
    <phoneticPr fontId="1" type="Hiragana"/>
  </si>
  <si>
    <t>給与所得
（非自発）</t>
    <rPh sb="0" eb="2">
      <t>きゅうよ</t>
    </rPh>
    <rPh sb="2" eb="4">
      <t>しょとく</t>
    </rPh>
    <rPh sb="6" eb="7">
      <t>ひ</t>
    </rPh>
    <rPh sb="7" eb="9">
      <t>じはつ</t>
    </rPh>
    <phoneticPr fontId="1" type="Hiragana"/>
  </si>
  <si>
    <t>給与所得
（所得税）</t>
    <rPh sb="0" eb="2">
      <t>きゅうよ</t>
    </rPh>
    <rPh sb="2" eb="4">
      <t>しょとく</t>
    </rPh>
    <rPh sb="6" eb="9">
      <t>しょとくぜい</t>
    </rPh>
    <phoneticPr fontId="1" type="Hiragana"/>
  </si>
  <si>
    <t>非自発
的失業</t>
    <rPh sb="0" eb="1">
      <t>ひ</t>
    </rPh>
    <rPh sb="1" eb="3">
      <t>じはつ</t>
    </rPh>
    <rPh sb="4" eb="5">
      <t>てき</t>
    </rPh>
    <rPh sb="5" eb="7">
      <t>しつぎょう</t>
    </rPh>
    <phoneticPr fontId="1" type="Hiragana"/>
  </si>
  <si>
    <t>所得割
対象者</t>
    <rPh sb="0" eb="2">
      <t>ショトク</t>
    </rPh>
    <rPh sb="2" eb="3">
      <t>ワリ</t>
    </rPh>
    <rPh sb="4" eb="7">
      <t>タイショウシャ</t>
    </rPh>
    <phoneticPr fontId="1"/>
  </si>
  <si>
    <t>円以上</t>
    <rPh sb="0" eb="1">
      <t>えん</t>
    </rPh>
    <rPh sb="1" eb="3">
      <t>いじょう</t>
    </rPh>
    <phoneticPr fontId="1" type="Hiragana"/>
  </si>
  <si>
    <t>円以下</t>
    <rPh sb="0" eb="1">
      <t>えん</t>
    </rPh>
    <rPh sb="1" eb="3">
      <t>いか</t>
    </rPh>
    <phoneticPr fontId="1" type="Hiragana"/>
  </si>
  <si>
    <t>▽軽減判定特例</t>
    <rPh sb="1" eb="3">
      <t>けいげん</t>
    </rPh>
    <rPh sb="3" eb="5">
      <t>はんてい</t>
    </rPh>
    <rPh sb="5" eb="7">
      <t>とくれい</t>
    </rPh>
    <phoneticPr fontId="1" type="Hiragana"/>
  </si>
  <si>
    <t>均等割りの軽減割合</t>
    <rPh sb="0" eb="3">
      <t>きんとうわ</t>
    </rPh>
    <rPh sb="5" eb="9">
      <t>けいげんわりあい</t>
    </rPh>
    <phoneticPr fontId="1" type="Hiragana"/>
  </si>
  <si>
    <t>条件</t>
    <rPh sb="0" eb="2">
      <t>じょうけん</t>
    </rPh>
    <phoneticPr fontId="1" type="Hiragana"/>
  </si>
  <si>
    <t>歳以上かつ公的年金がある被保険者は</t>
    <rPh sb="0" eb="3">
      <t>さいいじょう</t>
    </rPh>
    <rPh sb="5" eb="9">
      <t>こうてきねんきん</t>
    </rPh>
    <rPh sb="12" eb="16">
      <t>ひほけんしゃ</t>
    </rPh>
    <phoneticPr fontId="1" type="Hiragana"/>
  </si>
  <si>
    <t>円減額する。</t>
    <rPh sb="0" eb="1">
      <t>えん</t>
    </rPh>
    <rPh sb="1" eb="3">
      <t>げんがく</t>
    </rPh>
    <phoneticPr fontId="1" type="Hiragana"/>
  </si>
  <si>
    <t>※ただし、15万円以下の場合は、その金額。</t>
    <rPh sb="7" eb="11">
      <t>まんえんいか</t>
    </rPh>
    <rPh sb="12" eb="14">
      <t>ばあい</t>
    </rPh>
    <rPh sb="18" eb="20">
      <t>きんがく</t>
    </rPh>
    <phoneticPr fontId="1" type="Hiragana"/>
  </si>
  <si>
    <t>年金以外
の合計所得</t>
    <rPh sb="0" eb="4">
      <t>ネンキンイガイ</t>
    </rPh>
    <rPh sb="6" eb="10">
      <t>ゴウケイショトク</t>
    </rPh>
    <phoneticPr fontId="1"/>
  </si>
  <si>
    <t>分離所得</t>
    <rPh sb="0" eb="4">
      <t>ぶんりしょとく</t>
    </rPh>
    <phoneticPr fontId="1" type="Hiragana"/>
  </si>
  <si>
    <t>①給与所得と公的年金所得の両方を得ている。</t>
    <rPh sb="1" eb="5">
      <t>きゅうよしょとく</t>
    </rPh>
    <rPh sb="6" eb="8">
      <t>こうてき</t>
    </rPh>
    <rPh sb="8" eb="10">
      <t>ねんきん</t>
    </rPh>
    <rPh sb="10" eb="12">
      <t>しょとく</t>
    </rPh>
    <rPh sb="13" eb="15">
      <t>りょうほう</t>
    </rPh>
    <rPh sb="16" eb="17">
      <t>え</t>
    </rPh>
    <phoneticPr fontId="1" type="Hiragana"/>
  </si>
  <si>
    <t>②給与＋公的年金＝</t>
    <rPh sb="1" eb="3">
      <t>きゅうよ</t>
    </rPh>
    <rPh sb="4" eb="6">
      <t>こうてき</t>
    </rPh>
    <rPh sb="6" eb="8">
      <t>ねんきん</t>
    </rPh>
    <phoneticPr fontId="1" type="Hiragana"/>
  </si>
  <si>
    <t>円引いた額を給与所得から控除する。</t>
    <rPh sb="0" eb="2">
      <t>えんひ</t>
    </rPh>
    <rPh sb="4" eb="5">
      <t>がく</t>
    </rPh>
    <rPh sb="6" eb="10">
      <t>きゅうよしょとく</t>
    </rPh>
    <rPh sb="12" eb="14">
      <t>こうじょ</t>
    </rPh>
    <phoneticPr fontId="1" type="Hiragana"/>
  </si>
  <si>
    <t>対象者（○歳未満）</t>
    <rPh sb="0" eb="3">
      <t>たいしょうしゃ</t>
    </rPh>
    <rPh sb="5" eb="8">
      <t>さいみまん</t>
    </rPh>
    <phoneticPr fontId="1" type="Hiragana"/>
  </si>
  <si>
    <t>5割軽減</t>
    <rPh sb="1" eb="4">
      <t>わりけいげん</t>
    </rPh>
    <phoneticPr fontId="1" type="Hiragana"/>
  </si>
  <si>
    <t>軽減なし</t>
    <rPh sb="0" eb="2">
      <t>けいげん</t>
    </rPh>
    <phoneticPr fontId="1" type="Hiragana"/>
  </si>
  <si>
    <t>▽未就学児の均等割軽減</t>
    <rPh sb="1" eb="5">
      <t>みしゅうがくじ</t>
    </rPh>
    <rPh sb="6" eb="9">
      <t>きんとうわ</t>
    </rPh>
    <rPh sb="9" eb="11">
      <t>けいげん</t>
    </rPh>
    <phoneticPr fontId="1" type="Hiragana"/>
  </si>
  <si>
    <t>※年税額詳細については端数処理のため、年税額が一致しない場合があります。</t>
    <rPh sb="11" eb="15">
      <t>はすうしょり</t>
    </rPh>
    <phoneticPr fontId="1" type="Hiragana"/>
  </si>
  <si>
    <t>円以上ならば</t>
    <rPh sb="0" eb="3">
      <t>えんいじょう</t>
    </rPh>
    <phoneticPr fontId="1" type="Hiragana"/>
  </si>
  <si>
    <t>⇒②の合計額から</t>
    <rPh sb="3" eb="5">
      <t>ごうけい</t>
    </rPh>
    <rPh sb="5" eb="6">
      <t>がく</t>
    </rPh>
    <phoneticPr fontId="1" type="Hiragana"/>
  </si>
  <si>
    <t>▽給与所得調整控除</t>
    <rPh sb="1" eb="5">
      <t>きゅうよしょとく</t>
    </rPh>
    <rPh sb="5" eb="7">
      <t>ちょうせい</t>
    </rPh>
    <rPh sb="7" eb="9">
      <t>こうじょ</t>
    </rPh>
    <phoneticPr fontId="1" type="Hiragana"/>
  </si>
  <si>
    <t>【確定申告書Ａ表】</t>
    <rPh sb="1" eb="3">
      <t>かくてい</t>
    </rPh>
    <rPh sb="3" eb="6">
      <t>しんこくしょ</t>
    </rPh>
    <rPh sb="7" eb="8">
      <t>ひょう</t>
    </rPh>
    <phoneticPr fontId="1" type="Hiragana"/>
  </si>
  <si>
    <t>【確定申告書Ｂ表】</t>
    <rPh sb="1" eb="3">
      <t>かくてい</t>
    </rPh>
    <rPh sb="3" eb="6">
      <t>しんこくしょ</t>
    </rPh>
    <rPh sb="7" eb="8">
      <t>ひょう</t>
    </rPh>
    <phoneticPr fontId="1" type="Hiragana"/>
  </si>
  <si>
    <t>公的年金を受給し、確定申告していない方</t>
    <rPh sb="9" eb="13">
      <t>かくていしんこく</t>
    </rPh>
    <rPh sb="18" eb="19">
      <t>かた</t>
    </rPh>
    <phoneticPr fontId="1" type="Hiragana"/>
  </si>
  <si>
    <t>A</t>
  </si>
  <si>
    <t>令　和　５　年　度　国　民　健　康　保　険　税　年　税　額　試　算　表</t>
    <rPh sb="8" eb="9">
      <t>ど</t>
    </rPh>
    <rPh sb="10" eb="11">
      <t>くに</t>
    </rPh>
    <rPh sb="12" eb="13">
      <t>たみ</t>
    </rPh>
    <rPh sb="14" eb="15">
      <t>けん</t>
    </rPh>
    <rPh sb="16" eb="17">
      <t>やすし</t>
    </rPh>
    <rPh sb="18" eb="19">
      <t>たもつ</t>
    </rPh>
    <rPh sb="20" eb="21">
      <t>けん</t>
    </rPh>
    <rPh sb="22" eb="23">
      <t>ぜい</t>
    </rPh>
    <rPh sb="24" eb="25">
      <t>とし</t>
    </rPh>
    <rPh sb="26" eb="27">
      <t>ぜい</t>
    </rPh>
    <rPh sb="28" eb="29">
      <t>がく</t>
    </rPh>
    <rPh sb="30" eb="31">
      <t>こころみ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</si>
</sst>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&quot; 名&quot;"/>
    <numFmt numFmtId="177" formatCode="#,##0&quot; 円&quot;"/>
    <numFmt numFmtId="178" formatCode="0_);[Red]\(0\)"/>
    <numFmt numFmtId="179" formatCode="#,##0_ "/>
    <numFmt numFmtId="180" formatCode="#,##0&quot;歳&quot;"/>
    <numFmt numFmtId="181" formatCode="0.0%"/>
    <numFmt numFmtId="182" formatCode="#,##0.0"/>
  </numFmts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HGP明朝E"/>
      <family val="1"/>
    </font>
    <font>
      <sz val="20"/>
      <color theme="1"/>
      <name val="HGP明朝E"/>
      <family val="1"/>
    </font>
    <font>
      <sz val="12"/>
      <color theme="1"/>
      <name val="HGP明朝E"/>
      <family val="1"/>
    </font>
    <font>
      <sz val="11"/>
      <color theme="1"/>
      <name val="HGP創英角ｺﾞｼｯｸUB"/>
      <family val="3"/>
    </font>
    <font>
      <sz val="11"/>
      <color rgb="FFFF0000"/>
      <name val="游ゴシック"/>
      <family val="3"/>
      <scheme val="minor"/>
    </font>
    <font>
      <sz val="11"/>
      <color theme="0"/>
      <name val="游ゴシック"/>
      <family val="3"/>
      <scheme val="minor"/>
    </font>
    <font>
      <sz val="11"/>
      <color theme="1"/>
      <name val="BIZ UDPゴシック"/>
      <family val="3"/>
    </font>
    <font>
      <sz val="11"/>
      <color rgb="FFFF0000"/>
      <name val="HGP明朝E"/>
      <family val="1"/>
    </font>
    <font>
      <sz val="11"/>
      <color auto="1"/>
      <name val="HGP明朝E"/>
      <family val="1"/>
    </font>
    <font>
      <sz val="11"/>
      <color theme="0"/>
      <name val="HGP明朝E"/>
      <family val="1"/>
    </font>
    <font>
      <sz val="11"/>
      <color rgb="FFFF0000"/>
      <name val="HGP明朝E"/>
      <family val="1"/>
    </font>
    <font>
      <sz val="14"/>
      <color theme="1"/>
      <name val="HGP創英角ｺﾞｼｯｸUB"/>
      <family val="3"/>
    </font>
    <font>
      <sz val="11"/>
      <color theme="0" tint="-0.35"/>
      <name val="HGP明朝E"/>
      <family val="1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quotePrefix="1" applyFont="1" applyFill="1" applyBorder="1" applyAlignment="1" applyProtection="1">
      <alignment horizontal="center" vertical="center"/>
    </xf>
    <xf numFmtId="176" fontId="3" fillId="4" borderId="2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right" vertical="center"/>
    </xf>
    <xf numFmtId="10" fontId="3" fillId="4" borderId="2" xfId="0" applyNumberFormat="1" applyFont="1" applyFill="1" applyBorder="1" applyAlignment="1" applyProtection="1">
      <alignment horizontal="center" vertical="center"/>
    </xf>
    <xf numFmtId="177" fontId="3" fillId="4" borderId="2" xfId="1" applyNumberFormat="1" applyFont="1" applyFill="1" applyBorder="1" applyAlignment="1" applyProtection="1">
      <alignment horizontal="right" vertical="center"/>
    </xf>
    <xf numFmtId="177" fontId="3" fillId="0" borderId="2" xfId="1" applyNumberFormat="1" applyFont="1" applyFill="1" applyBorder="1" applyAlignment="1" applyProtection="1">
      <alignment horizontal="right" vertical="center"/>
    </xf>
    <xf numFmtId="177" fontId="3" fillId="4" borderId="3" xfId="1" applyNumberFormat="1" applyFont="1" applyFill="1" applyBorder="1" applyAlignment="1" applyProtection="1">
      <alignment horizontal="right" vertical="center"/>
    </xf>
    <xf numFmtId="177" fontId="3" fillId="4" borderId="4" xfId="1" applyNumberFormat="1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0" borderId="18" xfId="1" applyNumberFormat="1" applyFont="1" applyFill="1" applyBorder="1" applyAlignment="1" applyProtection="1">
      <alignment horizontal="right"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177" fontId="3" fillId="4" borderId="10" xfId="0" applyNumberFormat="1" applyFont="1" applyFill="1" applyBorder="1" applyAlignment="1" applyProtection="1">
      <alignment horizontal="right" vertical="center"/>
    </xf>
    <xf numFmtId="177" fontId="3" fillId="0" borderId="13" xfId="1" applyNumberFormat="1" applyFont="1" applyFill="1" applyBorder="1" applyAlignment="1" applyProtection="1">
      <alignment horizontal="right" vertical="center"/>
    </xf>
    <xf numFmtId="177" fontId="3" fillId="0" borderId="10" xfId="1" applyNumberFormat="1" applyFont="1" applyFill="1" applyBorder="1" applyAlignment="1" applyProtection="1">
      <alignment horizontal="right" vertical="center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77" fontId="3" fillId="0" borderId="21" xfId="1" applyNumberFormat="1" applyFont="1" applyFill="1" applyBorder="1" applyAlignment="1" applyProtection="1">
      <alignment horizontal="right" vertical="center"/>
    </xf>
    <xf numFmtId="177" fontId="3" fillId="0" borderId="22" xfId="1" applyNumberFormat="1" applyFont="1" applyFill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4" borderId="0" xfId="1" applyNumberFormat="1" applyFont="1" applyFill="1" applyAlignment="1" applyProtection="1">
      <alignment horizontal="right" vertical="center"/>
    </xf>
    <xf numFmtId="0" fontId="3" fillId="0" borderId="24" xfId="0" applyFont="1" applyBorder="1" applyAlignment="1" applyProtection="1">
      <alignment horizontal="center" vertical="center"/>
    </xf>
    <xf numFmtId="177" fontId="3" fillId="0" borderId="25" xfId="1" applyNumberFormat="1" applyFont="1" applyFill="1" applyBorder="1" applyAlignment="1" applyProtection="1">
      <alignment vertical="center"/>
    </xf>
    <xf numFmtId="177" fontId="3" fillId="0" borderId="26" xfId="1" applyNumberFormat="1" applyFont="1" applyFill="1" applyBorder="1" applyAlignment="1" applyProtection="1">
      <alignment vertical="center"/>
    </xf>
    <xf numFmtId="177" fontId="3" fillId="0" borderId="27" xfId="1" applyNumberFormat="1" applyFont="1" applyFill="1" applyBorder="1" applyAlignment="1" applyProtection="1">
      <alignment horizontal="right" vertical="center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4" borderId="28" xfId="1" applyNumberFormat="1" applyFont="1" applyFill="1" applyBorder="1" applyAlignment="1" applyProtection="1">
      <alignment horizontal="center" vertical="center"/>
    </xf>
    <xf numFmtId="177" fontId="3" fillId="4" borderId="29" xfId="1" applyNumberFormat="1" applyFont="1" applyFill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horizontal="center" vertical="center"/>
    </xf>
    <xf numFmtId="177" fontId="3" fillId="0" borderId="4" xfId="1" applyNumberFormat="1" applyFont="1" applyFill="1" applyBorder="1" applyAlignment="1" applyProtection="1">
      <alignment vertical="center"/>
    </xf>
    <xf numFmtId="177" fontId="3" fillId="0" borderId="3" xfId="1" applyNumberFormat="1" applyFont="1" applyFill="1" applyBorder="1" applyAlignment="1" applyProtection="1">
      <alignment vertical="center"/>
    </xf>
    <xf numFmtId="177" fontId="3" fillId="0" borderId="31" xfId="1" applyNumberFormat="1" applyFont="1" applyFill="1" applyBorder="1" applyAlignment="1" applyProtection="1">
      <alignment horizontal="right" vertical="center"/>
    </xf>
    <xf numFmtId="177" fontId="3" fillId="2" borderId="2" xfId="1" applyNumberFormat="1" applyFont="1" applyFill="1" applyBorder="1" applyAlignment="1" applyProtection="1">
      <alignment horizontal="right" vertical="center"/>
      <protection locked="0"/>
    </xf>
    <xf numFmtId="177" fontId="3" fillId="4" borderId="32" xfId="1" applyNumberFormat="1" applyFont="1" applyFill="1" applyBorder="1" applyAlignment="1" applyProtection="1">
      <alignment horizontal="right" vertical="center"/>
    </xf>
    <xf numFmtId="177" fontId="3" fillId="4" borderId="33" xfId="1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77" fontId="3" fillId="4" borderId="34" xfId="1" applyNumberFormat="1" applyFont="1" applyFill="1" applyBorder="1" applyAlignment="1" applyProtection="1">
      <alignment horizontal="right" vertical="center"/>
    </xf>
    <xf numFmtId="177" fontId="3" fillId="4" borderId="35" xfId="0" applyNumberFormat="1" applyFont="1" applyFill="1" applyBorder="1" applyAlignment="1" applyProtection="1">
      <alignment horizontal="right" vertical="center"/>
    </xf>
    <xf numFmtId="177" fontId="3" fillId="4" borderId="0" xfId="0" applyNumberFormat="1" applyFont="1" applyFill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77" fontId="3" fillId="4" borderId="36" xfId="0" applyNumberFormat="1" applyFont="1" applyFill="1" applyBorder="1" applyAlignment="1" applyProtection="1">
      <alignment horizontal="right" vertical="center"/>
    </xf>
    <xf numFmtId="177" fontId="3" fillId="0" borderId="35" xfId="1" applyNumberFormat="1" applyFont="1" applyFill="1" applyBorder="1" applyAlignment="1" applyProtection="1">
      <alignment vertical="center"/>
    </xf>
    <xf numFmtId="177" fontId="3" fillId="0" borderId="37" xfId="1" applyNumberFormat="1" applyFont="1" applyFill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177" fontId="3" fillId="0" borderId="4" xfId="1" applyNumberFormat="1" applyFont="1" applyFill="1" applyBorder="1" applyAlignment="1" applyProtection="1">
      <alignment horizontal="right" vertical="center"/>
    </xf>
    <xf numFmtId="177" fontId="3" fillId="0" borderId="3" xfId="1" applyNumberFormat="1" applyFont="1" applyFill="1" applyBorder="1" applyAlignment="1" applyProtection="1">
      <alignment horizontal="right" vertical="center"/>
    </xf>
    <xf numFmtId="177" fontId="3" fillId="0" borderId="17" xfId="1" applyNumberFormat="1" applyFont="1" applyFill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horizontal="center" vertical="center"/>
    </xf>
    <xf numFmtId="177" fontId="3" fillId="0" borderId="12" xfId="1" applyNumberFormat="1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 applyProtection="1">
      <alignment horizontal="center" vertical="center"/>
    </xf>
    <xf numFmtId="176" fontId="3" fillId="0" borderId="15" xfId="0" applyNumberFormat="1" applyFont="1" applyFill="1" applyBorder="1" applyAlignment="1" applyProtection="1">
      <alignment horizontal="center" vertical="center"/>
    </xf>
    <xf numFmtId="10" fontId="3" fillId="4" borderId="15" xfId="0" applyNumberFormat="1" applyFont="1" applyFill="1" applyBorder="1" applyAlignment="1" applyProtection="1">
      <alignment horizontal="center" vertical="center"/>
    </xf>
    <xf numFmtId="177" fontId="3" fillId="4" borderId="15" xfId="0" applyNumberFormat="1" applyFont="1" applyFill="1" applyBorder="1" applyAlignment="1" applyProtection="1">
      <alignment horizontal="right" vertical="center"/>
    </xf>
    <xf numFmtId="177" fontId="3" fillId="0" borderId="15" xfId="0" applyNumberFormat="1" applyFont="1" applyFill="1" applyBorder="1" applyAlignment="1" applyProtection="1">
      <alignment horizontal="right" vertical="center"/>
    </xf>
    <xf numFmtId="177" fontId="3" fillId="4" borderId="40" xfId="0" applyNumberFormat="1" applyFont="1" applyFill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177" fontId="3" fillId="0" borderId="42" xfId="1" applyNumberFormat="1" applyFont="1" applyFill="1" applyBorder="1" applyAlignment="1" applyProtection="1">
      <alignment horizontal="right" vertical="center"/>
    </xf>
    <xf numFmtId="177" fontId="3" fillId="0" borderId="43" xfId="1" applyNumberFormat="1" applyFont="1" applyFill="1" applyBorder="1" applyAlignment="1" applyProtection="1">
      <alignment horizontal="right" vertical="center"/>
    </xf>
    <xf numFmtId="177" fontId="3" fillId="0" borderId="20" xfId="1" applyNumberFormat="1" applyFont="1" applyFill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177" fontId="3" fillId="0" borderId="40" xfId="1" applyNumberFormat="1" applyFont="1" applyFill="1" applyBorder="1" applyAlignment="1" applyProtection="1">
      <alignment vertical="center"/>
    </xf>
    <xf numFmtId="177" fontId="3" fillId="0" borderId="46" xfId="1" applyNumberFormat="1" applyFont="1" applyFill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vertical="center"/>
    </xf>
    <xf numFmtId="0" fontId="6" fillId="0" borderId="48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52" xfId="0" applyFont="1" applyBorder="1" applyAlignment="1" applyProtection="1">
      <alignment vertical="center"/>
    </xf>
    <xf numFmtId="177" fontId="3" fillId="0" borderId="53" xfId="1" applyNumberFormat="1" applyFont="1" applyFill="1" applyBorder="1" applyAlignment="1" applyProtection="1">
      <alignment vertical="center"/>
    </xf>
    <xf numFmtId="179" fontId="6" fillId="0" borderId="12" xfId="0" applyNumberFormat="1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right" vertical="center"/>
    </xf>
    <xf numFmtId="0" fontId="3" fillId="0" borderId="57" xfId="0" applyFont="1" applyBorder="1" applyAlignment="1" applyProtection="1">
      <alignment horizontal="center" vertical="center"/>
    </xf>
    <xf numFmtId="177" fontId="3" fillId="0" borderId="25" xfId="0" applyNumberFormat="1" applyFont="1" applyBorder="1" applyAlignment="1" applyProtection="1">
      <alignment horizontal="right" vertical="center"/>
    </xf>
    <xf numFmtId="177" fontId="3" fillId="0" borderId="26" xfId="0" applyNumberFormat="1" applyFont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52" xfId="0" applyBorder="1" applyProtection="1">
      <alignment vertical="center"/>
    </xf>
    <xf numFmtId="177" fontId="3" fillId="0" borderId="56" xfId="0" applyNumberFormat="1" applyFont="1" applyFill="1" applyBorder="1" applyAlignment="1" applyProtection="1">
      <alignment horizontal="right" vertical="center"/>
    </xf>
    <xf numFmtId="0" fontId="0" fillId="0" borderId="58" xfId="0" applyFont="1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60" xfId="0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177" fontId="8" fillId="4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Protection="1">
      <alignment vertical="center"/>
    </xf>
    <xf numFmtId="38" fontId="8" fillId="0" borderId="0" xfId="1" applyFont="1" applyBorder="1" applyProtection="1">
      <alignment vertical="center"/>
    </xf>
    <xf numFmtId="0" fontId="0" fillId="0" borderId="0" xfId="0" applyNumberFormat="1" applyProtection="1">
      <alignment vertical="center"/>
      <protection locked="0"/>
    </xf>
    <xf numFmtId="0" fontId="9" fillId="0" borderId="0" xfId="0" applyNumberFormat="1" applyFont="1" applyProtection="1">
      <alignment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9" fillId="0" borderId="36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9" fillId="0" borderId="36" xfId="0" applyNumberFormat="1" applyFont="1" applyBorder="1" applyAlignment="1" applyProtection="1">
      <alignment horizontal="left" vertical="center"/>
      <protection locked="0"/>
    </xf>
    <xf numFmtId="0" fontId="9" fillId="0" borderId="36" xfId="0" applyNumberFormat="1" applyFont="1" applyBorder="1" applyAlignment="1" applyProtection="1">
      <alignment vertical="center"/>
      <protection locked="0"/>
    </xf>
    <xf numFmtId="0" fontId="9" fillId="0" borderId="36" xfId="0" applyNumberFormat="1" applyFont="1" applyBorder="1" applyProtection="1">
      <alignment vertical="center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0" borderId="2" xfId="0" applyNumberFormat="1" applyFont="1" applyBorder="1">
      <alignment vertical="center"/>
    </xf>
    <xf numFmtId="0" fontId="3" fillId="0" borderId="30" xfId="0" applyNumberFormat="1" applyFont="1" applyBorder="1">
      <alignment vertical="center"/>
    </xf>
    <xf numFmtId="0" fontId="3" fillId="5" borderId="54" xfId="0" applyFont="1" applyFill="1" applyBorder="1" applyAlignment="1">
      <alignment horizontal="center" vertical="center"/>
    </xf>
    <xf numFmtId="0" fontId="3" fillId="0" borderId="62" xfId="0" applyFont="1" applyBorder="1">
      <alignment vertical="center"/>
    </xf>
    <xf numFmtId="0" fontId="3" fillId="0" borderId="55" xfId="0" applyFont="1" applyBorder="1">
      <alignment vertical="center"/>
    </xf>
    <xf numFmtId="0" fontId="3" fillId="5" borderId="15" xfId="0" applyFont="1" applyFill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1" xfId="1" applyFont="1" applyBorder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38" fontId="3" fillId="0" borderId="7" xfId="0" applyNumberFormat="1" applyFont="1" applyBorder="1">
      <alignment vertical="center"/>
    </xf>
    <xf numFmtId="38" fontId="3" fillId="0" borderId="8" xfId="0" applyNumberFormat="1" applyFont="1" applyBorder="1">
      <alignment vertical="center"/>
    </xf>
    <xf numFmtId="38" fontId="3" fillId="0" borderId="64" xfId="0" applyNumberFormat="1" applyFont="1" applyBorder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38" fontId="10" fillId="0" borderId="65" xfId="1" applyFont="1" applyBorder="1" applyAlignment="1">
      <alignment vertical="center"/>
    </xf>
    <xf numFmtId="38" fontId="10" fillId="0" borderId="66" xfId="1" applyFont="1" applyBorder="1" applyAlignment="1">
      <alignment vertical="center"/>
    </xf>
    <xf numFmtId="38" fontId="10" fillId="0" borderId="67" xfId="1" applyFont="1" applyBorder="1" applyAlignment="1">
      <alignment vertical="center"/>
    </xf>
    <xf numFmtId="38" fontId="3" fillId="0" borderId="2" xfId="1" applyFont="1" applyBorder="1">
      <alignment vertical="center"/>
    </xf>
    <xf numFmtId="0" fontId="3" fillId="5" borderId="2" xfId="0" applyFont="1" applyFill="1" applyBorder="1" applyAlignment="1">
      <alignment vertical="center" wrapText="1"/>
    </xf>
    <xf numFmtId="38" fontId="3" fillId="6" borderId="2" xfId="1" applyFont="1" applyFill="1" applyBorder="1" applyAlignment="1">
      <alignment vertical="center" wrapText="1"/>
    </xf>
    <xf numFmtId="38" fontId="3" fillId="6" borderId="2" xfId="1" applyFont="1" applyFill="1" applyBorder="1" applyAlignment="1">
      <alignment horizontal="right" vertical="center"/>
    </xf>
    <xf numFmtId="38" fontId="3" fillId="6" borderId="2" xfId="1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38" fontId="11" fillId="0" borderId="0" xfId="0" applyNumberFormat="1" applyFont="1" applyFill="1">
      <alignment vertical="center"/>
    </xf>
    <xf numFmtId="0" fontId="3" fillId="5" borderId="1" xfId="0" applyFont="1" applyFill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3" fillId="7" borderId="57" xfId="0" applyFont="1" applyFill="1" applyBorder="1" applyAlignment="1">
      <alignment horizontal="center" vertical="center" wrapText="1"/>
    </xf>
    <xf numFmtId="38" fontId="3" fillId="0" borderId="61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0" fontId="11" fillId="0" borderId="0" xfId="0" applyFont="1" applyFill="1">
      <alignment vertical="center"/>
    </xf>
    <xf numFmtId="0" fontId="3" fillId="7" borderId="50" xfId="0" applyFont="1" applyFill="1" applyBorder="1" applyAlignment="1">
      <alignment horizontal="center" vertical="center" wrapText="1"/>
    </xf>
    <xf numFmtId="38" fontId="3" fillId="0" borderId="30" xfId="0" applyNumberFormat="1" applyFont="1" applyBorder="1">
      <alignment vertical="center"/>
    </xf>
    <xf numFmtId="38" fontId="12" fillId="0" borderId="0" xfId="0" applyNumberFormat="1" applyFont="1" applyFill="1">
      <alignment vertical="center"/>
    </xf>
    <xf numFmtId="0" fontId="3" fillId="7" borderId="54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24" xfId="0" applyFont="1" applyBorder="1">
      <alignment vertical="center"/>
    </xf>
    <xf numFmtId="0" fontId="3" fillId="7" borderId="54" xfId="0" applyFont="1" applyFill="1" applyBorder="1" applyAlignment="1">
      <alignment horizontal="center" vertical="center"/>
    </xf>
    <xf numFmtId="38" fontId="3" fillId="0" borderId="62" xfId="0" applyNumberFormat="1" applyFont="1" applyBorder="1">
      <alignment vertical="center"/>
    </xf>
    <xf numFmtId="0" fontId="10" fillId="0" borderId="55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4" fillId="0" borderId="0" xfId="0" applyNumberFormat="1" applyFont="1" applyAlignment="1">
      <alignment vertical="center"/>
    </xf>
    <xf numFmtId="3" fontId="11" fillId="8" borderId="0" xfId="0" applyNumberFormat="1" applyFont="1" applyFill="1">
      <alignment vertical="center"/>
    </xf>
    <xf numFmtId="3" fontId="11" fillId="3" borderId="0" xfId="0" applyNumberFormat="1" applyFont="1" applyFill="1">
      <alignment vertical="center"/>
    </xf>
    <xf numFmtId="3" fontId="11" fillId="0" borderId="0" xfId="1" applyNumberFormat="1" applyFont="1">
      <alignment vertical="center"/>
    </xf>
    <xf numFmtId="0" fontId="3" fillId="9" borderId="0" xfId="0" applyFont="1" applyFill="1">
      <alignment vertical="center"/>
    </xf>
    <xf numFmtId="38" fontId="3" fillId="9" borderId="0" xfId="1" applyFont="1" applyFill="1">
      <alignment vertical="center"/>
    </xf>
    <xf numFmtId="38" fontId="3" fillId="0" borderId="0" xfId="1" applyFont="1">
      <alignment vertical="center"/>
    </xf>
    <xf numFmtId="180" fontId="3" fillId="9" borderId="0" xfId="0" applyNumberFormat="1" applyFont="1" applyFill="1">
      <alignment vertical="center"/>
    </xf>
    <xf numFmtId="3" fontId="11" fillId="9" borderId="0" xfId="1" applyNumberFormat="1" applyFont="1" applyFill="1">
      <alignment vertical="center"/>
    </xf>
    <xf numFmtId="3" fontId="11" fillId="0" borderId="0" xfId="1" applyNumberFormat="1" applyFont="1" applyFill="1" applyAlignment="1">
      <alignment horizontal="right" vertical="center"/>
    </xf>
    <xf numFmtId="3" fontId="3" fillId="9" borderId="0" xfId="0" applyNumberFormat="1" applyFont="1" applyFill="1">
      <alignment vertical="center"/>
    </xf>
    <xf numFmtId="181" fontId="11" fillId="9" borderId="0" xfId="2" applyNumberFormat="1" applyFont="1" applyFill="1">
      <alignment vertical="center"/>
    </xf>
    <xf numFmtId="38" fontId="11" fillId="9" borderId="0" xfId="1" applyFont="1" applyFill="1">
      <alignment vertical="center"/>
    </xf>
    <xf numFmtId="9" fontId="11" fillId="9" borderId="0" xfId="2" applyFont="1" applyFill="1">
      <alignment vertical="center"/>
    </xf>
    <xf numFmtId="0" fontId="15" fillId="0" borderId="0" xfId="0" quotePrefix="1" applyFont="1">
      <alignment vertical="center"/>
    </xf>
    <xf numFmtId="182" fontId="11" fillId="9" borderId="0" xfId="1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0" fontId="11" fillId="9" borderId="0" xfId="1" applyNumberFormat="1" applyFont="1" applyFill="1" applyAlignment="1">
      <alignment horizontal="right" vertical="center"/>
    </xf>
    <xf numFmtId="3" fontId="11" fillId="9" borderId="0" xfId="1" applyNumberFormat="1" applyFont="1" applyFill="1" applyAlignment="1">
      <alignment horizontal="right" vertical="center"/>
    </xf>
    <xf numFmtId="0" fontId="3" fillId="0" borderId="0" xfId="0" quotePrefix="1" applyFont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colors>
    <mruColors>
      <color rgb="FFFFFFCC"/>
      <color rgb="FF00FFFF"/>
      <color rgb="FFE9FFFF"/>
      <color rgb="FFFFFF5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Relationship Id="rId4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28575</xdr:colOff>
      <xdr:row>2</xdr:row>
      <xdr:rowOff>11430</xdr:rowOff>
    </xdr:from>
    <xdr:to xmlns:xdr="http://schemas.openxmlformats.org/drawingml/2006/spreadsheetDrawing">
      <xdr:col>40</xdr:col>
      <xdr:colOff>7620</xdr:colOff>
      <xdr:row>6</xdr:row>
      <xdr:rowOff>38100</xdr:rowOff>
    </xdr:to>
    <xdr:sp macro="" textlink="">
      <xdr:nvSpPr>
        <xdr:cNvPr id="4" name="テキスト 4"/>
        <xdr:cNvSpPr txBox="1">
          <a:spLocks noChangeAspect="1"/>
        </xdr:cNvSpPr>
      </xdr:nvSpPr>
      <xdr:spPr>
        <a:xfrm>
          <a:off x="333375" y="407670"/>
          <a:ext cx="8894445" cy="864870"/>
        </a:xfrm>
        <a:prstGeom prst="rect">
          <a:avLst/>
        </a:prstGeom>
        <a:ln w="19050" cmpd="sng">
          <a:solidFill>
            <a:schemeClr val="tx1"/>
          </a:solidFill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100">
              <a:latin typeface="HGP明朝E"/>
              <a:ea typeface="HGP明朝E"/>
            </a:rPr>
            <a:t>　※ 試算した保険税額は概算ですので、実際の保険税額とは異なる場合があります。</a:t>
          </a:r>
        </a:p>
        <a:p>
          <a:pPr algn="l"/>
          <a:r>
            <a:rPr kumimoji="1" lang="ja-JP" altLang="en-US" sz="1100">
              <a:latin typeface="HGP明朝E"/>
              <a:ea typeface="HGP明朝E"/>
            </a:rPr>
            <a:t>　※ 年度の途中で加入者の所得や人数に変更がある場合は、正しく計算できません。</a:t>
          </a:r>
        </a:p>
        <a:p>
          <a:pPr algn="l"/>
          <a:r>
            <a:rPr kumimoji="1" lang="ja-JP" altLang="en-US" sz="1100">
              <a:latin typeface="HGP明朝E"/>
              <a:ea typeface="HGP明朝E"/>
            </a:rPr>
            <a:t>　※ 所得額による軽減措置（2割・5割・7割軽減）、非自発的失業者の軽減の有無、未就学児の軽減措置以外の軽減措置については、計算できません。</a:t>
          </a:r>
        </a:p>
        <a:p>
          <a:pPr algn="l"/>
          <a:r>
            <a:rPr kumimoji="1" lang="ja-JP" altLang="en-US" sz="1100">
              <a:latin typeface="HGP明朝E"/>
              <a:ea typeface="HGP明朝E"/>
            </a:rPr>
            <a:t>　※ 軽減措置には、専従者控除や譲渡所得の特別控除の適用がないため、基準額以下でも軽減が適用されないことがあります。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</xdr:row>
      <xdr:rowOff>12700</xdr:rowOff>
    </xdr:from>
    <xdr:to xmlns:xdr="http://schemas.openxmlformats.org/drawingml/2006/spreadsheetDrawing">
      <xdr:col>5</xdr:col>
      <xdr:colOff>669925</xdr:colOff>
      <xdr:row>20</xdr:row>
      <xdr:rowOff>144145</xdr:rowOff>
    </xdr:to>
    <xdr:pic macro="">
      <xdr:nvPicPr>
        <xdr:cNvPr id="32" name="図 26"/>
        <xdr:cNvPicPr preferRelativeResize="0"/>
      </xdr:nvPicPr>
      <xdr:blipFill>
        <a:blip xmlns:r="http://schemas.openxmlformats.org/officeDocument/2006/relationships" r:embed="rId1"/>
        <a:srcRect l="1363"/>
        <a:stretch>
          <a:fillRect/>
        </a:stretch>
      </xdr:blipFill>
      <xdr:spPr>
        <a:xfrm>
          <a:off x="0" y="1384300"/>
          <a:ext cx="3272790" cy="360045"/>
        </a:xfrm>
        <a:prstGeom prst="rect">
          <a:avLst/>
        </a:prstGeom>
        <a:noFill/>
        <a:ln w="12700" cap="flat" cmpd="sng">
          <a:solidFill>
            <a:schemeClr val="tx1"/>
          </a:solidFill>
          <a:prstDash val="solid"/>
          <a:round/>
        </a:ln>
        <a:effectLst/>
      </xdr:spPr>
    </xdr:pic>
    <xdr:clientData/>
  </xdr:twoCellAnchor>
  <xdr:twoCellAnchor>
    <xdr:from xmlns:xdr="http://schemas.openxmlformats.org/drawingml/2006/spreadsheetDrawing">
      <xdr:col>1</xdr:col>
      <xdr:colOff>120650</xdr:colOff>
      <xdr:row>11</xdr:row>
      <xdr:rowOff>121285</xdr:rowOff>
    </xdr:from>
    <xdr:to xmlns:xdr="http://schemas.openxmlformats.org/drawingml/2006/spreadsheetDrawing">
      <xdr:col>2</xdr:col>
      <xdr:colOff>398145</xdr:colOff>
      <xdr:row>12</xdr:row>
      <xdr:rowOff>67310</xdr:rowOff>
    </xdr:to>
    <xdr:sp macro="" textlink="">
      <xdr:nvSpPr>
        <xdr:cNvPr id="6" name="テキスト 5"/>
        <xdr:cNvSpPr txBox="1"/>
      </xdr:nvSpPr>
      <xdr:spPr>
        <a:xfrm>
          <a:off x="363855" y="1492885"/>
          <a:ext cx="947420" cy="174625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115570</xdr:colOff>
      <xdr:row>16</xdr:row>
      <xdr:rowOff>140970</xdr:rowOff>
    </xdr:from>
    <xdr:to xmlns:xdr="http://schemas.openxmlformats.org/drawingml/2006/spreadsheetDrawing">
      <xdr:col>2</xdr:col>
      <xdr:colOff>389890</xdr:colOff>
      <xdr:row>17</xdr:row>
      <xdr:rowOff>194310</xdr:rowOff>
    </xdr:to>
    <xdr:sp macro="" textlink="">
      <xdr:nvSpPr>
        <xdr:cNvPr id="12" name="テキスト 11"/>
        <xdr:cNvSpPr txBox="1"/>
      </xdr:nvSpPr>
      <xdr:spPr>
        <a:xfrm>
          <a:off x="358775" y="1512570"/>
          <a:ext cx="944245" cy="281940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116205</xdr:colOff>
      <xdr:row>12</xdr:row>
      <xdr:rowOff>71755</xdr:rowOff>
    </xdr:from>
    <xdr:to xmlns:xdr="http://schemas.openxmlformats.org/drawingml/2006/spreadsheetDrawing">
      <xdr:col>2</xdr:col>
      <xdr:colOff>392430</xdr:colOff>
      <xdr:row>12</xdr:row>
      <xdr:rowOff>194310</xdr:rowOff>
    </xdr:to>
    <xdr:sp macro="" textlink="">
      <xdr:nvSpPr>
        <xdr:cNvPr id="13" name="テキスト 12"/>
        <xdr:cNvSpPr txBox="1"/>
      </xdr:nvSpPr>
      <xdr:spPr>
        <a:xfrm>
          <a:off x="359410" y="1443355"/>
          <a:ext cx="946150" cy="122555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115570</xdr:colOff>
      <xdr:row>18</xdr:row>
      <xdr:rowOff>95250</xdr:rowOff>
    </xdr:from>
    <xdr:to xmlns:xdr="http://schemas.openxmlformats.org/drawingml/2006/spreadsheetDrawing">
      <xdr:col>2</xdr:col>
      <xdr:colOff>390525</xdr:colOff>
      <xdr:row>19</xdr:row>
      <xdr:rowOff>148590</xdr:rowOff>
    </xdr:to>
    <xdr:sp macro="" textlink="">
      <xdr:nvSpPr>
        <xdr:cNvPr id="33" name="テキスト 27"/>
        <xdr:cNvSpPr txBox="1"/>
      </xdr:nvSpPr>
      <xdr:spPr>
        <a:xfrm>
          <a:off x="358775" y="1466850"/>
          <a:ext cx="944880" cy="281940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635</xdr:colOff>
      <xdr:row>29</xdr:row>
      <xdr:rowOff>17780</xdr:rowOff>
    </xdr:from>
    <xdr:to xmlns:xdr="http://schemas.openxmlformats.org/drawingml/2006/spreadsheetDrawing">
      <xdr:col>5</xdr:col>
      <xdr:colOff>667385</xdr:colOff>
      <xdr:row>45</xdr:row>
      <xdr:rowOff>179070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" y="1846580"/>
          <a:ext cx="3269615" cy="389890"/>
        </a:xfrm>
        <a:prstGeom prst="rect">
          <a:avLst/>
        </a:prstGeom>
        <a:noFill/>
        <a:ln w="12700" cmpd="sng">
          <a:solidFill>
            <a:schemeClr val="tx1"/>
          </a:solidFill>
        </a:ln>
      </xdr:spPr>
    </xdr:pic>
    <xdr:clientData/>
  </xdr:twoCellAnchor>
  <xdr:twoCellAnchor>
    <xdr:from xmlns:xdr="http://schemas.openxmlformats.org/drawingml/2006/spreadsheetDrawing">
      <xdr:col>4</xdr:col>
      <xdr:colOff>1270</xdr:colOff>
      <xdr:row>23</xdr:row>
      <xdr:rowOff>14605</xdr:rowOff>
    </xdr:from>
    <xdr:to xmlns:xdr="http://schemas.openxmlformats.org/drawingml/2006/spreadsheetDrawing">
      <xdr:col>4</xdr:col>
      <xdr:colOff>155575</xdr:colOff>
      <xdr:row>26</xdr:row>
      <xdr:rowOff>211455</xdr:rowOff>
    </xdr:to>
    <xdr:sp macro="" textlink="">
      <xdr:nvSpPr>
        <xdr:cNvPr id="9" name="図形 8"/>
        <xdr:cNvSpPr/>
      </xdr:nvSpPr>
      <xdr:spPr>
        <a:xfrm>
          <a:off x="2391410" y="1386205"/>
          <a:ext cx="154305" cy="425450"/>
        </a:xfrm>
        <a:prstGeom prst="rightBrace">
          <a:avLst/>
        </a:prstGeom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148590</xdr:colOff>
      <xdr:row>37</xdr:row>
      <xdr:rowOff>134620</xdr:rowOff>
    </xdr:from>
    <xdr:to xmlns:xdr="http://schemas.openxmlformats.org/drawingml/2006/spreadsheetDrawing">
      <xdr:col>2</xdr:col>
      <xdr:colOff>213360</xdr:colOff>
      <xdr:row>38</xdr:row>
      <xdr:rowOff>37465</xdr:rowOff>
    </xdr:to>
    <xdr:sp macro="" textlink="">
      <xdr:nvSpPr>
        <xdr:cNvPr id="10" name="テキスト 9"/>
        <xdr:cNvSpPr txBox="1"/>
      </xdr:nvSpPr>
      <xdr:spPr>
        <a:xfrm>
          <a:off x="391795" y="1963420"/>
          <a:ext cx="734695" cy="131445"/>
        </a:xfrm>
        <a:prstGeom prst="rect">
          <a:avLst/>
        </a:prstGeom>
        <a:noFill/>
        <a:ln w="28575" cap="flat" cmpd="sng">
          <a:solidFill>
            <a:srgbClr val="FF0000"/>
          </a:solidFill>
          <a:prstDash val="solid"/>
          <a:miter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91439" tIns="45719" rIns="91439" bIns="45719" numCol="1" spcCol="0" rtlCol="0" anchor="t"/>
        <a:lstStyle/>
        <a:p>
          <a:pPr algn="l"/>
          <a:endParaRPr kumimoji="1" lang="ja-JP" altLang="en-US" sz="1100" b="0" i="0" u="none" strike="noStrike" kern="0" cap="none" spc="0" normalizeH="0" baseline="0">
            <a:solidFill>
              <a:schemeClr val="dk1"/>
            </a:solidFill>
            <a:effectLst/>
            <a:uFill>
              <a:solidFill>
                <a:sysClr val="windowText" lastClr="000000"/>
              </a:solidFill>
            </a:uFill>
            <a:latin typeface="+mn-lt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142875</xdr:colOff>
      <xdr:row>36</xdr:row>
      <xdr:rowOff>198120</xdr:rowOff>
    </xdr:from>
    <xdr:to xmlns:xdr="http://schemas.openxmlformats.org/drawingml/2006/spreadsheetDrawing">
      <xdr:col>2</xdr:col>
      <xdr:colOff>214630</xdr:colOff>
      <xdr:row>37</xdr:row>
      <xdr:rowOff>113030</xdr:rowOff>
    </xdr:to>
    <xdr:sp macro="" textlink="">
      <xdr:nvSpPr>
        <xdr:cNvPr id="11" name="テキスト 10"/>
        <xdr:cNvSpPr txBox="1"/>
      </xdr:nvSpPr>
      <xdr:spPr>
        <a:xfrm>
          <a:off x="386080" y="2026920"/>
          <a:ext cx="741680" cy="143510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84455</xdr:rowOff>
    </xdr:from>
    <xdr:to xmlns:xdr="http://schemas.openxmlformats.org/drawingml/2006/spreadsheetDrawing">
      <xdr:col>1</xdr:col>
      <xdr:colOff>125730</xdr:colOff>
      <xdr:row>18</xdr:row>
      <xdr:rowOff>182245</xdr:rowOff>
    </xdr:to>
    <xdr:sp macro="" textlink="">
      <xdr:nvSpPr>
        <xdr:cNvPr id="17" name="テキスト 16"/>
        <xdr:cNvSpPr txBox="1"/>
      </xdr:nvSpPr>
      <xdr:spPr>
        <a:xfrm>
          <a:off x="0" y="1456055"/>
          <a:ext cx="368935" cy="3263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Ⅲ.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400685</xdr:colOff>
      <xdr:row>11</xdr:row>
      <xdr:rowOff>209550</xdr:rowOff>
    </xdr:from>
    <xdr:to xmlns:xdr="http://schemas.openxmlformats.org/drawingml/2006/spreadsheetDrawing">
      <xdr:col>10</xdr:col>
      <xdr:colOff>26035</xdr:colOff>
      <xdr:row>21</xdr:row>
      <xdr:rowOff>111760</xdr:rowOff>
    </xdr:to>
    <xdr:cxnSp macro="">
      <xdr:nvCxnSpPr>
        <xdr:cNvPr id="18" name="図形 17"/>
        <xdr:cNvCxnSpPr>
          <a:endCxn id="6" idx="3"/>
        </xdr:cNvCxnSpPr>
      </xdr:nvCxnSpPr>
      <xdr:spPr>
        <a:xfrm rot="10800000">
          <a:off x="1313815" y="1581150"/>
          <a:ext cx="4245610" cy="130810"/>
        </a:xfrm>
        <a:prstGeom prst="bentConnector3">
          <a:avLst>
            <a:gd name="adj1" fmla="val -4992"/>
          </a:avLst>
        </a:prstGeom>
        <a:noFill/>
        <a:ln w="38100" cmpd="sng">
          <a:solidFill>
            <a:srgbClr val="FFC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394335</xdr:colOff>
      <xdr:row>12</xdr:row>
      <xdr:rowOff>130810</xdr:rowOff>
    </xdr:from>
    <xdr:to xmlns:xdr="http://schemas.openxmlformats.org/drawingml/2006/spreadsheetDrawing">
      <xdr:col>10</xdr:col>
      <xdr:colOff>255905</xdr:colOff>
      <xdr:row>22</xdr:row>
      <xdr:rowOff>120015</xdr:rowOff>
    </xdr:to>
    <xdr:cxnSp macro="">
      <xdr:nvCxnSpPr>
        <xdr:cNvPr id="19" name="図形 18"/>
        <xdr:cNvCxnSpPr>
          <a:endCxn id="13" idx="3"/>
        </xdr:cNvCxnSpPr>
      </xdr:nvCxnSpPr>
      <xdr:spPr>
        <a:xfrm rot="10800000">
          <a:off x="1307465" y="1502410"/>
          <a:ext cx="4481830" cy="217805"/>
        </a:xfrm>
        <a:prstGeom prst="bentConnector3">
          <a:avLst>
            <a:gd name="adj1" fmla="val -7397"/>
          </a:avLst>
        </a:prstGeom>
        <a:noFill/>
        <a:ln w="38100" cmpd="sng">
          <a:solidFill>
            <a:srgbClr val="00B05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386715</xdr:colOff>
      <xdr:row>17</xdr:row>
      <xdr:rowOff>52705</xdr:rowOff>
    </xdr:from>
    <xdr:to xmlns:xdr="http://schemas.openxmlformats.org/drawingml/2006/spreadsheetDrawing">
      <xdr:col>9</xdr:col>
      <xdr:colOff>669290</xdr:colOff>
      <xdr:row>24</xdr:row>
      <xdr:rowOff>136525</xdr:rowOff>
    </xdr:to>
    <xdr:cxnSp macro="">
      <xdr:nvCxnSpPr>
        <xdr:cNvPr id="20" name="図形 19"/>
        <xdr:cNvCxnSpPr>
          <a:endCxn id="12" idx="3"/>
        </xdr:cNvCxnSpPr>
      </xdr:nvCxnSpPr>
      <xdr:spPr>
        <a:xfrm rot="10800000">
          <a:off x="1299845" y="1424305"/>
          <a:ext cx="4232910" cy="312420"/>
        </a:xfrm>
        <a:prstGeom prst="bentConnector3">
          <a:avLst>
            <a:gd name="adj1" fmla="val -21425"/>
          </a:avLst>
        </a:prstGeom>
        <a:noFill/>
        <a:ln w="38100" cmpd="sng">
          <a:solidFill>
            <a:srgbClr val="00B0F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</xdr:col>
      <xdr:colOff>1270</xdr:colOff>
      <xdr:row>48</xdr:row>
      <xdr:rowOff>14605</xdr:rowOff>
    </xdr:from>
    <xdr:to xmlns:xdr="http://schemas.openxmlformats.org/drawingml/2006/spreadsheetDrawing">
      <xdr:col>4</xdr:col>
      <xdr:colOff>155575</xdr:colOff>
      <xdr:row>51</xdr:row>
      <xdr:rowOff>211455</xdr:rowOff>
    </xdr:to>
    <xdr:sp macro="" textlink="">
      <xdr:nvSpPr>
        <xdr:cNvPr id="21" name="図形 20"/>
        <xdr:cNvSpPr/>
      </xdr:nvSpPr>
      <xdr:spPr>
        <a:xfrm>
          <a:off x="2391410" y="1843405"/>
          <a:ext cx="154305" cy="425450"/>
        </a:xfrm>
        <a:prstGeom prst="rightBrace">
          <a:avLst/>
        </a:prstGeom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217805</xdr:colOff>
      <xdr:row>37</xdr:row>
      <xdr:rowOff>39370</xdr:rowOff>
    </xdr:from>
    <xdr:to xmlns:xdr="http://schemas.openxmlformats.org/drawingml/2006/spreadsheetDrawing">
      <xdr:col>9</xdr:col>
      <xdr:colOff>669925</xdr:colOff>
      <xdr:row>46</xdr:row>
      <xdr:rowOff>124460</xdr:rowOff>
    </xdr:to>
    <xdr:cxnSp macro="">
      <xdr:nvCxnSpPr>
        <xdr:cNvPr id="22" name="図形 20"/>
        <xdr:cNvCxnSpPr>
          <a:endCxn id="11" idx="3"/>
        </xdr:cNvCxnSpPr>
      </xdr:nvCxnSpPr>
      <xdr:spPr>
        <a:xfrm rot="10800000">
          <a:off x="1130935" y="1868170"/>
          <a:ext cx="4402455" cy="313690"/>
        </a:xfrm>
        <a:prstGeom prst="bentConnector3">
          <a:avLst>
            <a:gd name="adj1" fmla="val -8904"/>
          </a:avLst>
        </a:prstGeom>
        <a:noFill/>
        <a:ln w="38100" cap="flat" cmpd="sng">
          <a:solidFill>
            <a:srgbClr val="FFC000"/>
          </a:solidFill>
          <a:prstDash val="solid"/>
          <a:miter/>
          <a:headEnd type="none" w="med" len="med"/>
          <a:tailEnd type="triangl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210185</xdr:colOff>
      <xdr:row>37</xdr:row>
      <xdr:rowOff>202565</xdr:rowOff>
    </xdr:from>
    <xdr:to xmlns:xdr="http://schemas.openxmlformats.org/drawingml/2006/spreadsheetDrawing">
      <xdr:col>10</xdr:col>
      <xdr:colOff>245110</xdr:colOff>
      <xdr:row>47</xdr:row>
      <xdr:rowOff>120015</xdr:rowOff>
    </xdr:to>
    <xdr:cxnSp macro="">
      <xdr:nvCxnSpPr>
        <xdr:cNvPr id="23" name="図形 21"/>
        <xdr:cNvCxnSpPr>
          <a:endCxn id="10" idx="3"/>
        </xdr:cNvCxnSpPr>
      </xdr:nvCxnSpPr>
      <xdr:spPr>
        <a:xfrm rot="10800000">
          <a:off x="1123315" y="2031365"/>
          <a:ext cx="4655185" cy="146050"/>
        </a:xfrm>
        <a:prstGeom prst="bentConnector3">
          <a:avLst>
            <a:gd name="adj1" fmla="val -12961"/>
          </a:avLst>
        </a:prstGeom>
        <a:noFill/>
        <a:ln w="38100" cap="flat" cmpd="sng">
          <a:solidFill>
            <a:srgbClr val="00B050"/>
          </a:solidFill>
          <a:prstDash val="solid"/>
          <a:miter/>
          <a:headEnd type="none" w="med" len="med"/>
          <a:tailEnd type="triangl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210185</xdr:colOff>
      <xdr:row>44</xdr:row>
      <xdr:rowOff>65405</xdr:rowOff>
    </xdr:from>
    <xdr:to xmlns:xdr="http://schemas.openxmlformats.org/drawingml/2006/spreadsheetDrawing">
      <xdr:col>10</xdr:col>
      <xdr:colOff>22860</xdr:colOff>
      <xdr:row>50</xdr:row>
      <xdr:rowOff>108585</xdr:rowOff>
    </xdr:to>
    <xdr:cxnSp macro="">
      <xdr:nvCxnSpPr>
        <xdr:cNvPr id="24" name="図形 22"/>
        <xdr:cNvCxnSpPr>
          <a:endCxn id="26" idx="3"/>
        </xdr:cNvCxnSpPr>
      </xdr:nvCxnSpPr>
      <xdr:spPr>
        <a:xfrm rot="10800000">
          <a:off x="1123315" y="1894205"/>
          <a:ext cx="4432935" cy="271780"/>
        </a:xfrm>
        <a:prstGeom prst="bentConnector3">
          <a:avLst>
            <a:gd name="adj1" fmla="val -30029"/>
          </a:avLst>
        </a:prstGeom>
        <a:noFill/>
        <a:ln w="38100" cap="flat" cmpd="sng">
          <a:solidFill>
            <a:srgbClr val="00B0F0"/>
          </a:solidFill>
          <a:prstDash val="solid"/>
          <a:miter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142240</xdr:colOff>
      <xdr:row>40</xdr:row>
      <xdr:rowOff>72390</xdr:rowOff>
    </xdr:from>
    <xdr:to xmlns:xdr="http://schemas.openxmlformats.org/drawingml/2006/spreadsheetDrawing">
      <xdr:col>2</xdr:col>
      <xdr:colOff>220345</xdr:colOff>
      <xdr:row>43</xdr:row>
      <xdr:rowOff>8255</xdr:rowOff>
    </xdr:to>
    <xdr:sp macro="" textlink="">
      <xdr:nvSpPr>
        <xdr:cNvPr id="25" name="テキスト 23"/>
        <xdr:cNvSpPr txBox="1"/>
      </xdr:nvSpPr>
      <xdr:spPr>
        <a:xfrm>
          <a:off x="385445" y="1901190"/>
          <a:ext cx="748030" cy="164465"/>
        </a:xfrm>
        <a:prstGeom prst="rect">
          <a:avLst/>
        </a:prstGeom>
        <a:noFill/>
        <a:ln w="28575" cap="flat" cmpd="sng">
          <a:solidFill>
            <a:srgbClr val="FF0000"/>
          </a:solidFill>
          <a:prstDash val="solid"/>
          <a:miter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91439" tIns="45719" rIns="91439" bIns="45719" numCol="1" spcCol="0" rtlCol="0" anchor="t"/>
        <a:lstStyle/>
        <a:p>
          <a:pPr algn="l"/>
          <a:endParaRPr kumimoji="1" lang="ja-JP" altLang="en-US" sz="1100" b="0" i="0" u="none" strike="noStrike" kern="0" cap="none" spc="0" normalizeH="0" baseline="0">
            <a:solidFill>
              <a:schemeClr val="dk1"/>
            </a:solidFill>
            <a:effectLst/>
            <a:uFill>
              <a:solidFill>
                <a:sysClr val="windowText" lastClr="000000"/>
              </a:solidFill>
            </a:uFill>
            <a:latin typeface="+mn-lt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136525</xdr:colOff>
      <xdr:row>43</xdr:row>
      <xdr:rowOff>145415</xdr:rowOff>
    </xdr:from>
    <xdr:to xmlns:xdr="http://schemas.openxmlformats.org/drawingml/2006/spreadsheetDrawing">
      <xdr:col>2</xdr:col>
      <xdr:colOff>213995</xdr:colOff>
      <xdr:row>44</xdr:row>
      <xdr:rowOff>211455</xdr:rowOff>
    </xdr:to>
    <xdr:sp macro="" textlink="">
      <xdr:nvSpPr>
        <xdr:cNvPr id="26" name="テキスト 24"/>
        <xdr:cNvSpPr txBox="1"/>
      </xdr:nvSpPr>
      <xdr:spPr>
        <a:xfrm>
          <a:off x="379730" y="1974215"/>
          <a:ext cx="747395" cy="294640"/>
        </a:xfrm>
        <a:prstGeom prst="rect">
          <a:avLst/>
        </a:prstGeom>
        <a:noFill/>
        <a:ln w="28575" cap="flat" cmpd="sng">
          <a:solidFill>
            <a:srgbClr val="FF0000"/>
          </a:solidFill>
          <a:prstDash val="solid"/>
          <a:miter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91439" tIns="45719" rIns="91439" bIns="45719" numCol="1" spcCol="0" rtlCol="0" anchor="t"/>
        <a:lstStyle/>
        <a:p>
          <a:pPr algn="l"/>
          <a:endParaRPr kumimoji="1" lang="ja-JP" altLang="en-US" sz="1100" b="0" i="0" u="none" strike="noStrike" kern="0" cap="none" spc="0" normalizeH="0" baseline="0">
            <a:solidFill>
              <a:schemeClr val="dk1"/>
            </a:solidFill>
            <a:effectLst/>
            <a:uFill>
              <a:solidFill>
                <a:sysClr val="windowText" lastClr="000000"/>
              </a:solidFill>
            </a:uFill>
            <a:latin typeface="+mn-lt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217805</xdr:colOff>
      <xdr:row>41</xdr:row>
      <xdr:rowOff>156845</xdr:rowOff>
    </xdr:from>
    <xdr:to xmlns:xdr="http://schemas.openxmlformats.org/drawingml/2006/spreadsheetDrawing">
      <xdr:col>10</xdr:col>
      <xdr:colOff>30480</xdr:colOff>
      <xdr:row>49</xdr:row>
      <xdr:rowOff>147955</xdr:rowOff>
    </xdr:to>
    <xdr:cxnSp macro="">
      <xdr:nvCxnSpPr>
        <xdr:cNvPr id="27" name="図形 25"/>
        <xdr:cNvCxnSpPr>
          <a:endCxn id="25" idx="3"/>
        </xdr:cNvCxnSpPr>
      </xdr:nvCxnSpPr>
      <xdr:spPr>
        <a:xfrm rot="10800000">
          <a:off x="1130935" y="1985645"/>
          <a:ext cx="4432935" cy="219710"/>
        </a:xfrm>
        <a:prstGeom prst="bentConnector3">
          <a:avLst>
            <a:gd name="adj1" fmla="val -24514"/>
          </a:avLst>
        </a:prstGeom>
        <a:noFill/>
        <a:ln w="38100" cap="flat" cmpd="sng">
          <a:solidFill>
            <a:srgbClr val="00B0F0"/>
          </a:solidFill>
          <a:prstDash val="solid"/>
          <a:miter/>
          <a:headEnd type="none" w="med" len="med"/>
          <a:tailEnd type="triangl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55</xdr:row>
      <xdr:rowOff>0</xdr:rowOff>
    </xdr:from>
    <xdr:to xmlns:xdr="http://schemas.openxmlformats.org/drawingml/2006/spreadsheetDrawing">
      <xdr:col>8</xdr:col>
      <xdr:colOff>354330</xdr:colOff>
      <xdr:row>61</xdr:row>
      <xdr:rowOff>220345</xdr:rowOff>
    </xdr:to>
    <xdr:pic macro="">
      <xdr:nvPicPr>
        <xdr:cNvPr id="28" name="図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23160"/>
          <a:ext cx="4547870" cy="448945"/>
        </a:xfrm>
        <a:prstGeom prst="rect">
          <a:avLst/>
        </a:prstGeom>
        <a:noFill/>
        <a:ln w="12700" cap="flat" cmpd="sng">
          <a:solidFill>
            <a:schemeClr val="tx1"/>
          </a:solidFill>
          <a:prstDash val="solid"/>
          <a:round/>
        </a:ln>
        <a:effectLst/>
      </xdr:spPr>
    </xdr:pic>
    <xdr:clientData/>
  </xdr:twoCellAnchor>
  <xdr:twoCellAnchor>
    <xdr:from xmlns:xdr="http://schemas.openxmlformats.org/drawingml/2006/spreadsheetDrawing">
      <xdr:col>2</xdr:col>
      <xdr:colOff>34925</xdr:colOff>
      <xdr:row>59</xdr:row>
      <xdr:rowOff>213995</xdr:rowOff>
    </xdr:from>
    <xdr:to xmlns:xdr="http://schemas.openxmlformats.org/drawingml/2006/spreadsheetDrawing">
      <xdr:col>3</xdr:col>
      <xdr:colOff>295275</xdr:colOff>
      <xdr:row>61</xdr:row>
      <xdr:rowOff>97790</xdr:rowOff>
    </xdr:to>
    <xdr:sp macro="" textlink="">
      <xdr:nvSpPr>
        <xdr:cNvPr id="29" name="テキスト 26"/>
        <xdr:cNvSpPr txBox="1"/>
      </xdr:nvSpPr>
      <xdr:spPr>
        <a:xfrm>
          <a:off x="948055" y="2637155"/>
          <a:ext cx="930275" cy="112395"/>
        </a:xfrm>
        <a:prstGeom prst="rect">
          <a:avLst/>
        </a:prstGeom>
        <a:noFill/>
        <a:ln w="28575" cap="flat" cmpd="sng">
          <a:solidFill>
            <a:srgbClr val="FF0000"/>
          </a:solidFill>
          <a:prstDash val="solid"/>
          <a:miter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91439" tIns="45719" rIns="91439" bIns="45719" numCol="1" spcCol="0" rtlCol="0" anchor="t"/>
        <a:lstStyle/>
        <a:p>
          <a:pPr algn="l"/>
          <a:endParaRPr kumimoji="1" lang="ja-JP" altLang="en-US" sz="1100" b="0" i="0" u="none" strike="noStrike" kern="0" cap="none" spc="0" normalizeH="0" baseline="0">
            <a:solidFill>
              <a:schemeClr val="dk1"/>
            </a:solidFill>
            <a:effectLst/>
            <a:uFill>
              <a:solidFill>
                <a:sysClr val="windowText" lastClr="000000"/>
              </a:solidFill>
            </a:uFill>
            <a:latin typeface="+mn-lt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66</xdr:row>
      <xdr:rowOff>0</xdr:rowOff>
    </xdr:from>
    <xdr:to xmlns:xdr="http://schemas.openxmlformats.org/drawingml/2006/spreadsheetDrawing">
      <xdr:col>9</xdr:col>
      <xdr:colOff>11430</xdr:colOff>
      <xdr:row>71</xdr:row>
      <xdr:rowOff>187325</xdr:rowOff>
    </xdr:to>
    <xdr:pic macro="">
      <xdr:nvPicPr>
        <xdr:cNvPr id="30" name="図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017520"/>
          <a:ext cx="4874895" cy="415925"/>
        </a:xfrm>
        <a:prstGeom prst="rect">
          <a:avLst/>
        </a:prstGeom>
        <a:noFill/>
        <a:ln w="12700" cap="flat" cmpd="sng">
          <a:solidFill>
            <a:schemeClr val="tx1"/>
          </a:solidFill>
          <a:prstDash val="solid"/>
          <a:round/>
        </a:ln>
        <a:effectLst/>
      </xdr:spPr>
    </xdr:pic>
    <xdr:clientData/>
  </xdr:twoCellAnchor>
  <xdr:twoCellAnchor>
    <xdr:from xmlns:xdr="http://schemas.openxmlformats.org/drawingml/2006/spreadsheetDrawing">
      <xdr:col>2</xdr:col>
      <xdr:colOff>184785</xdr:colOff>
      <xdr:row>68</xdr:row>
      <xdr:rowOff>175895</xdr:rowOff>
    </xdr:from>
    <xdr:to xmlns:xdr="http://schemas.openxmlformats.org/drawingml/2006/spreadsheetDrawing">
      <xdr:col>5</xdr:col>
      <xdr:colOff>551815</xdr:colOff>
      <xdr:row>71</xdr:row>
      <xdr:rowOff>196215</xdr:rowOff>
    </xdr:to>
    <xdr:sp macro="" textlink="">
      <xdr:nvSpPr>
        <xdr:cNvPr id="31" name="テキスト 28"/>
        <xdr:cNvSpPr txBox="1"/>
      </xdr:nvSpPr>
      <xdr:spPr>
        <a:xfrm>
          <a:off x="1097915" y="3193415"/>
          <a:ext cx="2056765" cy="248920"/>
        </a:xfrm>
        <a:prstGeom prst="rect">
          <a:avLst/>
        </a:prstGeom>
        <a:noFill/>
        <a:ln w="28575" cap="flat" cmpd="sng">
          <a:solidFill>
            <a:srgbClr val="FF0000"/>
          </a:solidFill>
          <a:prstDash val="solid"/>
          <a:miter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91439" tIns="45719" rIns="91439" bIns="45719" numCol="1" spcCol="0" rtlCol="0" anchor="t"/>
        <a:lstStyle/>
        <a:p>
          <a:pPr algn="l"/>
          <a:endParaRPr kumimoji="1" lang="ja-JP" altLang="en-US" sz="1100" b="0" i="0" u="none" strike="noStrike" kern="0" cap="none" spc="0" normalizeH="0" baseline="0">
            <a:solidFill>
              <a:schemeClr val="dk1"/>
            </a:solidFill>
            <a:effectLst/>
            <a:uFill>
              <a:solidFill>
                <a:sysClr val="windowText" lastClr="000000"/>
              </a:solidFill>
            </a:uFill>
            <a:latin typeface="+mn-lt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394335</xdr:colOff>
      <xdr:row>19</xdr:row>
      <xdr:rowOff>6985</xdr:rowOff>
    </xdr:from>
    <xdr:to xmlns:xdr="http://schemas.openxmlformats.org/drawingml/2006/spreadsheetDrawing">
      <xdr:col>10</xdr:col>
      <xdr:colOff>19685</xdr:colOff>
      <xdr:row>25</xdr:row>
      <xdr:rowOff>90805</xdr:rowOff>
    </xdr:to>
    <xdr:cxnSp macro="">
      <xdr:nvCxnSpPr>
        <xdr:cNvPr id="34" name="図形 28"/>
        <xdr:cNvCxnSpPr>
          <a:endCxn id="33" idx="3"/>
        </xdr:cNvCxnSpPr>
      </xdr:nvCxnSpPr>
      <xdr:spPr>
        <a:xfrm rot="10800000">
          <a:off x="1307465" y="1378585"/>
          <a:ext cx="4245610" cy="312420"/>
        </a:xfrm>
        <a:prstGeom prst="bentConnector3">
          <a:avLst>
            <a:gd name="adj1" fmla="val -27119"/>
          </a:avLst>
        </a:prstGeom>
        <a:noFill/>
        <a:ln w="38100" cmpd="sng">
          <a:solidFill>
            <a:srgbClr val="00B0F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44450</xdr:colOff>
      <xdr:row>12</xdr:row>
      <xdr:rowOff>17780</xdr:rowOff>
    </xdr:from>
    <xdr:to xmlns:xdr="http://schemas.openxmlformats.org/drawingml/2006/spreadsheetDrawing">
      <xdr:col>1</xdr:col>
      <xdr:colOff>175260</xdr:colOff>
      <xdr:row>13</xdr:row>
      <xdr:rowOff>115570</xdr:rowOff>
    </xdr:to>
    <xdr:sp macro="" textlink="">
      <xdr:nvSpPr>
        <xdr:cNvPr id="35" name="テキスト 29"/>
        <xdr:cNvSpPr txBox="1"/>
      </xdr:nvSpPr>
      <xdr:spPr>
        <a:xfrm>
          <a:off x="44450" y="1389380"/>
          <a:ext cx="374015" cy="3263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Ⅱ.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50800</xdr:colOff>
      <xdr:row>11</xdr:row>
      <xdr:rowOff>69215</xdr:rowOff>
    </xdr:from>
    <xdr:to xmlns:xdr="http://schemas.openxmlformats.org/drawingml/2006/spreadsheetDrawing">
      <xdr:col>1</xdr:col>
      <xdr:colOff>179705</xdr:colOff>
      <xdr:row>12</xdr:row>
      <xdr:rowOff>167005</xdr:rowOff>
    </xdr:to>
    <xdr:sp macro="" textlink="">
      <xdr:nvSpPr>
        <xdr:cNvPr id="36" name="テキスト 30"/>
        <xdr:cNvSpPr txBox="1"/>
      </xdr:nvSpPr>
      <xdr:spPr>
        <a:xfrm>
          <a:off x="50800" y="1440815"/>
          <a:ext cx="372110" cy="3263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Ⅰ.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25400</xdr:colOff>
      <xdr:row>0</xdr:row>
      <xdr:rowOff>58420</xdr:rowOff>
    </xdr:from>
    <xdr:to xmlns:xdr="http://schemas.openxmlformats.org/drawingml/2006/spreadsheetDrawing">
      <xdr:col>7</xdr:col>
      <xdr:colOff>390525</xdr:colOff>
      <xdr:row>3</xdr:row>
      <xdr:rowOff>104775</xdr:rowOff>
    </xdr:to>
    <xdr:sp macro="" textlink="">
      <xdr:nvSpPr>
        <xdr:cNvPr id="40" name="図形 34"/>
        <xdr:cNvSpPr/>
      </xdr:nvSpPr>
      <xdr:spPr>
        <a:xfrm>
          <a:off x="25400" y="58420"/>
          <a:ext cx="3888740" cy="732155"/>
        </a:xfrm>
        <a:prstGeom prst="ribbon2">
          <a:avLst>
            <a:gd name="adj1" fmla="val 16667"/>
            <a:gd name="adj2" fmla="val 75000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確認したい資料名【○○】の左欄外にある＋をクリックしてください。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36</xdr:row>
      <xdr:rowOff>130810</xdr:rowOff>
    </xdr:from>
    <xdr:to xmlns:xdr="http://schemas.openxmlformats.org/drawingml/2006/spreadsheetDrawing">
      <xdr:col>1</xdr:col>
      <xdr:colOff>128905</xdr:colOff>
      <xdr:row>37</xdr:row>
      <xdr:rowOff>227965</xdr:rowOff>
    </xdr:to>
    <xdr:sp macro="" textlink="">
      <xdr:nvSpPr>
        <xdr:cNvPr id="37" name="テキスト 30"/>
        <xdr:cNvSpPr txBox="1"/>
      </xdr:nvSpPr>
      <xdr:spPr>
        <a:xfrm>
          <a:off x="0" y="1959610"/>
          <a:ext cx="372110" cy="325755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Ⅰ.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83185</xdr:rowOff>
    </xdr:from>
    <xdr:to xmlns:xdr="http://schemas.openxmlformats.org/drawingml/2006/spreadsheetDrawing">
      <xdr:col>1</xdr:col>
      <xdr:colOff>130810</xdr:colOff>
      <xdr:row>38</xdr:row>
      <xdr:rowOff>180975</xdr:rowOff>
    </xdr:to>
    <xdr:sp macro="" textlink="">
      <xdr:nvSpPr>
        <xdr:cNvPr id="38" name="テキスト 29"/>
        <xdr:cNvSpPr txBox="1"/>
      </xdr:nvSpPr>
      <xdr:spPr>
        <a:xfrm>
          <a:off x="0" y="1911985"/>
          <a:ext cx="374015" cy="3263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Ⅱ.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40</xdr:row>
      <xdr:rowOff>207010</xdr:rowOff>
    </xdr:from>
    <xdr:to xmlns:xdr="http://schemas.openxmlformats.org/drawingml/2006/spreadsheetDrawing">
      <xdr:col>1</xdr:col>
      <xdr:colOff>125730</xdr:colOff>
      <xdr:row>42</xdr:row>
      <xdr:rowOff>76200</xdr:rowOff>
    </xdr:to>
    <xdr:sp macro="" textlink="">
      <xdr:nvSpPr>
        <xdr:cNvPr id="39" name="テキスト 16"/>
        <xdr:cNvSpPr txBox="1"/>
      </xdr:nvSpPr>
      <xdr:spPr>
        <a:xfrm>
          <a:off x="0" y="2035810"/>
          <a:ext cx="368935" cy="977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Ⅲ.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43</xdr:row>
      <xdr:rowOff>184785</xdr:rowOff>
    </xdr:from>
    <xdr:to xmlns:xdr="http://schemas.openxmlformats.org/drawingml/2006/spreadsheetDrawing">
      <xdr:col>1</xdr:col>
      <xdr:colOff>125730</xdr:colOff>
      <xdr:row>45</xdr:row>
      <xdr:rowOff>53975</xdr:rowOff>
    </xdr:to>
    <xdr:sp macro="" textlink="">
      <xdr:nvSpPr>
        <xdr:cNvPr id="41" name="テキスト 16"/>
        <xdr:cNvSpPr txBox="1"/>
      </xdr:nvSpPr>
      <xdr:spPr>
        <a:xfrm>
          <a:off x="0" y="2013585"/>
          <a:ext cx="368935" cy="97790"/>
        </a:xfrm>
        <a:prstGeom prst="rect">
          <a:avLst/>
        </a:prstGeom>
        <a:noFill/>
        <a:ln w="28575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Ⅲ.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0</xdr:col>
      <xdr:colOff>40005</xdr:colOff>
      <xdr:row>1</xdr:row>
      <xdr:rowOff>48895</xdr:rowOff>
    </xdr:from>
    <xdr:to xmlns:xdr="http://schemas.openxmlformats.org/drawingml/2006/spreadsheetDrawing">
      <xdr:col>3</xdr:col>
      <xdr:colOff>337185</xdr:colOff>
      <xdr:row>6</xdr:row>
      <xdr:rowOff>152400</xdr:rowOff>
    </xdr:to>
    <xdr:sp macro="" textlink="">
      <xdr:nvSpPr>
        <xdr:cNvPr id="2" name="四角形: 角度付き 1"/>
        <xdr:cNvSpPr/>
      </xdr:nvSpPr>
      <xdr:spPr>
        <a:xfrm>
          <a:off x="40005" y="254635"/>
          <a:ext cx="4486275" cy="941705"/>
        </a:xfrm>
        <a:prstGeom prst="bevel">
          <a:avLst>
            <a:gd name="adj" fmla="val 105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セルの書式等の設定は変更しないでください。</a:t>
          </a:r>
          <a:endParaRPr lang="en-US" altLang="ja-JP" sz="1100" b="0" i="0" u="none" strike="noStrike">
            <a:solidFill>
              <a:schemeClr val="lt1"/>
            </a:solidFill>
            <a:effectLst/>
            <a:latin typeface="BIZ UDPゴシック"/>
            <a:ea typeface="BIZ UDPゴシック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㊟所得計算の性質上、</a:t>
          </a:r>
          <a:r>
            <a:rPr lang="ja-JP" altLang="en-US" sz="1100" b="0" i="0" u="sng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収入額の区分の変更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または</a:t>
          </a:r>
          <a:r>
            <a:rPr lang="ja-JP" altLang="en-US" sz="1100" b="0" i="0" u="sng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計算式の変更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が　</a:t>
          </a:r>
          <a:endParaRPr lang="en-US" altLang="ja-JP" sz="1100" b="0" i="0" u="none" strike="noStrike">
            <a:solidFill>
              <a:schemeClr val="lt1"/>
            </a:solidFill>
            <a:effectLst/>
            <a:latin typeface="BIZ UDPゴシック"/>
            <a:ea typeface="BIZ UDPゴシック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lt1"/>
              </a:solidFill>
              <a:effectLst/>
              <a:latin typeface="BIZ UDPゴシック"/>
              <a:ea typeface="BIZ UDPゴシック"/>
              <a:cs typeface="+mn-cs"/>
            </a:rPr>
            <a:t>　 ありますので</a:t>
          </a:r>
          <a:r>
            <a:rPr lang="ja-JP" altLang="en-US">
              <a:latin typeface="BIZ UDPゴシック"/>
              <a:ea typeface="BIZ UDPゴシック"/>
            </a:rPr>
            <a:t> 必ず</a:t>
          </a:r>
          <a:r>
            <a:rPr lang="ja-JP" altLang="en-US" b="1">
              <a:solidFill>
                <a:srgbClr val="FFFF00"/>
              </a:solidFill>
              <a:latin typeface="BIZ UDPゴシック"/>
              <a:ea typeface="BIZ UDPゴシック"/>
            </a:rPr>
            <a:t>全項目の確認をして下さい。</a:t>
          </a:r>
          <a:endParaRPr kumimoji="1" lang="ja-JP" altLang="en-US" sz="1100" b="1">
            <a:solidFill>
              <a:srgbClr val="FFFF00"/>
            </a:solidFill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99060</xdr:colOff>
      <xdr:row>48</xdr:row>
      <xdr:rowOff>68580</xdr:rowOff>
    </xdr:from>
    <xdr:to xmlns:xdr="http://schemas.openxmlformats.org/drawingml/2006/spreadsheetDrawing">
      <xdr:col>6</xdr:col>
      <xdr:colOff>640080</xdr:colOff>
      <xdr:row>57</xdr:row>
      <xdr:rowOff>68580</xdr:rowOff>
    </xdr:to>
    <xdr:sp macro="" textlink="">
      <xdr:nvSpPr>
        <xdr:cNvPr id="7" name="テキスト ボックス 6"/>
        <xdr:cNvSpPr txBox="1"/>
      </xdr:nvSpPr>
      <xdr:spPr>
        <a:xfrm>
          <a:off x="6930390" y="8153400"/>
          <a:ext cx="541020" cy="15087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BIZ UDPゴシック"/>
              <a:ea typeface="BIZ UDPゴシック"/>
            </a:rPr>
            <a:t>給与所得の改正がなければ変更不要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114300</xdr:colOff>
      <xdr:row>67</xdr:row>
      <xdr:rowOff>129540</xdr:rowOff>
    </xdr:from>
    <xdr:to xmlns:xdr="http://schemas.openxmlformats.org/drawingml/2006/spreadsheetDrawing">
      <xdr:col>6</xdr:col>
      <xdr:colOff>655320</xdr:colOff>
      <xdr:row>76</xdr:row>
      <xdr:rowOff>129540</xdr:rowOff>
    </xdr:to>
    <xdr:sp macro="" textlink="">
      <xdr:nvSpPr>
        <xdr:cNvPr id="8" name="テキスト ボックス 7"/>
        <xdr:cNvSpPr txBox="1"/>
      </xdr:nvSpPr>
      <xdr:spPr>
        <a:xfrm>
          <a:off x="6945630" y="11399520"/>
          <a:ext cx="541020" cy="15087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BIZ UDPゴシック"/>
              <a:ea typeface="BIZ UDPゴシック"/>
            </a:rPr>
            <a:t>年金所得の改正がなければ変更不要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152400</xdr:colOff>
      <xdr:row>89</xdr:row>
      <xdr:rowOff>53340</xdr:rowOff>
    </xdr:from>
    <xdr:to xmlns:xdr="http://schemas.openxmlformats.org/drawingml/2006/spreadsheetDrawing">
      <xdr:col>7</xdr:col>
      <xdr:colOff>15240</xdr:colOff>
      <xdr:row>98</xdr:row>
      <xdr:rowOff>53340</xdr:rowOff>
    </xdr:to>
    <xdr:sp macro="" textlink="">
      <xdr:nvSpPr>
        <xdr:cNvPr id="9" name="テキスト ボックス 8"/>
        <xdr:cNvSpPr txBox="1"/>
      </xdr:nvSpPr>
      <xdr:spPr>
        <a:xfrm>
          <a:off x="6983730" y="15011400"/>
          <a:ext cx="540385" cy="15087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BIZ UDPゴシック"/>
              <a:ea typeface="BIZ UDPゴシック"/>
            </a:rPr>
            <a:t>年金所得の改正がなければ変更不要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137160</xdr:colOff>
      <xdr:row>111</xdr:row>
      <xdr:rowOff>53340</xdr:rowOff>
    </xdr:from>
    <xdr:to xmlns:xdr="http://schemas.openxmlformats.org/drawingml/2006/spreadsheetDrawing">
      <xdr:col>7</xdr:col>
      <xdr:colOff>0</xdr:colOff>
      <xdr:row>120</xdr:row>
      <xdr:rowOff>53340</xdr:rowOff>
    </xdr:to>
    <xdr:sp macro="" textlink="">
      <xdr:nvSpPr>
        <xdr:cNvPr id="10" name="テキスト ボックス 9"/>
        <xdr:cNvSpPr txBox="1"/>
      </xdr:nvSpPr>
      <xdr:spPr>
        <a:xfrm>
          <a:off x="6968490" y="18699480"/>
          <a:ext cx="540385" cy="15087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BIZ UDPゴシック"/>
              <a:ea typeface="BIZ UDPゴシック"/>
            </a:rPr>
            <a:t>年金所得の改正がなければ変更不要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1:BN46"/>
  <sheetViews>
    <sheetView showGridLines="0" tabSelected="1" view="pageBreakPreview" zoomScale="85" zoomScaleNormal="85" zoomScaleSheetLayoutView="85" workbookViewId="0">
      <selection activeCell="AB23" sqref="AB23"/>
    </sheetView>
  </sheetViews>
  <sheetFormatPr defaultColWidth="3" defaultRowHeight="18"/>
  <cols>
    <col min="1" max="1" width="4" style="1" customWidth="1"/>
    <col min="2" max="49" width="3" style="1"/>
    <col min="50" max="51" width="9.3984375" style="1" bestFit="1" customWidth="1"/>
    <col min="52" max="52" width="3" style="2"/>
    <col min="53" max="53" width="8.59765625" style="2" bestFit="1" customWidth="1"/>
    <col min="54" max="54" width="20.09765625" style="1" bestFit="1" customWidth="1"/>
    <col min="55" max="55" width="8.3984375" style="1" bestFit="1" customWidth="1"/>
    <col min="56" max="56" width="9.5" style="1" customWidth="1"/>
    <col min="57" max="57" width="3.19921875" style="1" bestFit="1" customWidth="1"/>
    <col min="58" max="59" width="3" style="1"/>
    <col min="60" max="60" width="3.296875" style="1" customWidth="1"/>
    <col min="61" max="61" width="8.5" style="1" customWidth="1"/>
    <col min="62" max="64" width="3" style="1"/>
    <col min="65" max="65" width="2.5" style="1" customWidth="1"/>
    <col min="66" max="66" width="3" style="1"/>
    <col min="67" max="67" width="8.5" style="1" customWidth="1"/>
    <col min="68" max="16384" width="3" style="1"/>
  </cols>
  <sheetData>
    <row r="1" spans="2:55" s="3" customFormat="1" ht="23.4">
      <c r="B1" s="4" t="s">
        <v>153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5" ht="7.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2:5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2:5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2:55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2:55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2:55" ht="7.2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2:55">
      <c r="B8" s="7" t="s">
        <v>47</v>
      </c>
    </row>
    <row r="9" spans="2:55">
      <c r="B9" s="8" t="s">
        <v>68</v>
      </c>
      <c r="C9" s="24"/>
      <c r="D9" s="24"/>
      <c r="E9" s="3" t="s">
        <v>70</v>
      </c>
      <c r="AU9" s="18"/>
      <c r="AV9" s="18"/>
      <c r="AW9" s="18"/>
      <c r="AX9" s="18"/>
    </row>
    <row r="10" spans="2:55" ht="4.8" customHeight="1"/>
    <row r="11" spans="2:55">
      <c r="B11" s="9" t="s">
        <v>13</v>
      </c>
      <c r="C11" s="25"/>
      <c r="D11" s="25"/>
      <c r="E11" s="34"/>
      <c r="F11" s="9" t="s">
        <v>30</v>
      </c>
      <c r="G11" s="25"/>
      <c r="H11" s="25"/>
      <c r="I11" s="34"/>
      <c r="J11" s="9" t="s">
        <v>5</v>
      </c>
      <c r="K11" s="34"/>
      <c r="L11" s="12" t="s">
        <v>11</v>
      </c>
      <c r="M11" s="12"/>
      <c r="N11" s="12"/>
      <c r="O11" s="12"/>
      <c r="P11" s="12" t="s">
        <v>10</v>
      </c>
      <c r="Q11" s="12"/>
      <c r="R11" s="12"/>
      <c r="S11" s="12"/>
      <c r="T11" s="12" t="s">
        <v>15</v>
      </c>
      <c r="U11" s="12"/>
      <c r="V11" s="12"/>
      <c r="W11" s="12"/>
      <c r="X11" s="12" t="s">
        <v>20</v>
      </c>
      <c r="Y11" s="12"/>
      <c r="Z11" s="12"/>
      <c r="AA11" s="12"/>
      <c r="AB11" s="12" t="s">
        <v>137</v>
      </c>
      <c r="AC11" s="12"/>
      <c r="AD11" s="12"/>
      <c r="AE11" s="12"/>
      <c r="AF11" s="12" t="s">
        <v>116</v>
      </c>
      <c r="AG11" s="12"/>
      <c r="AH11" s="12"/>
      <c r="AI11" s="12"/>
      <c r="AJ11" s="12" t="s">
        <v>54</v>
      </c>
      <c r="AK11" s="12"/>
      <c r="AL11" s="12"/>
      <c r="AM11" s="12"/>
      <c r="AP11" s="133"/>
      <c r="AQ11" s="135"/>
      <c r="AR11" s="135"/>
      <c r="AS11" s="135"/>
      <c r="AT11" s="135"/>
      <c r="AU11" s="135"/>
      <c r="AV11" s="135"/>
      <c r="AW11" s="135"/>
      <c r="AX11" s="125"/>
      <c r="AY11" s="125"/>
      <c r="AZ11" s="125"/>
      <c r="BA11" s="125"/>
      <c r="BB11" s="125"/>
      <c r="BC11" s="125"/>
    </row>
    <row r="12" spans="2:55">
      <c r="B12" s="10" t="s">
        <v>152</v>
      </c>
      <c r="C12" s="26"/>
      <c r="D12" s="26"/>
      <c r="E12" s="35"/>
      <c r="F12" s="37" t="s">
        <v>59</v>
      </c>
      <c r="G12" s="50"/>
      <c r="H12" s="50"/>
      <c r="I12" s="54"/>
      <c r="J12" s="60">
        <v>0</v>
      </c>
      <c r="K12" s="66"/>
      <c r="L12" s="73">
        <v>0</v>
      </c>
      <c r="M12" s="73"/>
      <c r="N12" s="73"/>
      <c r="O12" s="73"/>
      <c r="P12" s="28" t="s">
        <v>2</v>
      </c>
      <c r="Q12" s="28"/>
      <c r="R12" s="28"/>
      <c r="S12" s="28"/>
      <c r="T12" s="73">
        <v>0</v>
      </c>
      <c r="U12" s="73"/>
      <c r="V12" s="73"/>
      <c r="W12" s="73"/>
      <c r="X12" s="73">
        <v>0</v>
      </c>
      <c r="Y12" s="73"/>
      <c r="Z12" s="73"/>
      <c r="AA12" s="73"/>
      <c r="AB12" s="73">
        <v>0</v>
      </c>
      <c r="AC12" s="73"/>
      <c r="AD12" s="73"/>
      <c r="AE12" s="73"/>
      <c r="AF12" s="43">
        <f>計算用!L2</f>
        <v>0</v>
      </c>
      <c r="AG12" s="43"/>
      <c r="AH12" s="43"/>
      <c r="AI12" s="43"/>
      <c r="AJ12" s="43">
        <f>計算用!M2</f>
        <v>0</v>
      </c>
      <c r="AK12" s="43"/>
      <c r="AL12" s="43"/>
      <c r="AM12" s="43"/>
      <c r="AN12" s="125"/>
      <c r="AO12" s="125"/>
      <c r="AP12" s="133"/>
      <c r="AU12" s="136"/>
      <c r="AV12" s="137"/>
      <c r="AW12" s="137"/>
      <c r="AX12" s="125"/>
      <c r="AY12" s="125"/>
      <c r="AZ12" s="125"/>
      <c r="BA12" s="125"/>
      <c r="BB12" s="125"/>
      <c r="BC12" s="125"/>
    </row>
    <row r="13" spans="2:55">
      <c r="B13" s="10"/>
      <c r="C13" s="26"/>
      <c r="D13" s="26"/>
      <c r="E13" s="35"/>
      <c r="F13" s="37"/>
      <c r="G13" s="50"/>
      <c r="H13" s="50"/>
      <c r="I13" s="54"/>
      <c r="J13" s="60"/>
      <c r="K13" s="66"/>
      <c r="L13" s="73"/>
      <c r="M13" s="73"/>
      <c r="N13" s="73"/>
      <c r="O13" s="73"/>
      <c r="P13" s="28"/>
      <c r="Q13" s="28"/>
      <c r="R13" s="28"/>
      <c r="S13" s="28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43" t="str">
        <f>計算用!L3</f>
        <v/>
      </c>
      <c r="AG13" s="43"/>
      <c r="AH13" s="43"/>
      <c r="AI13" s="43"/>
      <c r="AJ13" s="43" t="str">
        <f>計算用!M3</f>
        <v/>
      </c>
      <c r="AK13" s="43"/>
      <c r="AL13" s="43"/>
      <c r="AM13" s="43"/>
      <c r="AN13" s="125"/>
      <c r="AO13" s="125"/>
      <c r="AP13" s="133"/>
      <c r="AQ13" s="133"/>
      <c r="AR13" s="133"/>
      <c r="AS13" s="133"/>
      <c r="AT13" s="133"/>
      <c r="AU13" s="133"/>
      <c r="AV13" s="133"/>
      <c r="AW13" s="133"/>
      <c r="AX13" s="125"/>
      <c r="AY13" s="125"/>
      <c r="AZ13" s="125"/>
      <c r="BA13" s="125"/>
      <c r="BB13" s="125"/>
      <c r="BC13" s="125"/>
    </row>
    <row r="14" spans="2:55">
      <c r="B14" s="10"/>
      <c r="C14" s="26"/>
      <c r="D14" s="26"/>
      <c r="E14" s="35"/>
      <c r="F14" s="37"/>
      <c r="G14" s="50"/>
      <c r="H14" s="50"/>
      <c r="I14" s="54"/>
      <c r="J14" s="60"/>
      <c r="K14" s="66"/>
      <c r="L14" s="73"/>
      <c r="M14" s="73"/>
      <c r="N14" s="73"/>
      <c r="O14" s="73"/>
      <c r="P14" s="28"/>
      <c r="Q14" s="28"/>
      <c r="R14" s="28"/>
      <c r="S14" s="28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43" t="str">
        <f>計算用!L4</f>
        <v/>
      </c>
      <c r="AG14" s="43"/>
      <c r="AH14" s="43"/>
      <c r="AI14" s="43"/>
      <c r="AJ14" s="43" t="str">
        <f>計算用!M4</f>
        <v/>
      </c>
      <c r="AK14" s="43"/>
      <c r="AL14" s="43"/>
      <c r="AM14" s="43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"/>
    </row>
    <row r="15" spans="2:55">
      <c r="B15" s="10"/>
      <c r="C15" s="26"/>
      <c r="D15" s="26"/>
      <c r="E15" s="35"/>
      <c r="F15" s="37"/>
      <c r="G15" s="50"/>
      <c r="H15" s="50"/>
      <c r="I15" s="54"/>
      <c r="J15" s="60"/>
      <c r="K15" s="66"/>
      <c r="L15" s="73"/>
      <c r="M15" s="73"/>
      <c r="N15" s="73"/>
      <c r="O15" s="73"/>
      <c r="P15" s="28"/>
      <c r="Q15" s="28"/>
      <c r="R15" s="28"/>
      <c r="S15" s="28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43" t="str">
        <f>計算用!L5</f>
        <v/>
      </c>
      <c r="AG15" s="43"/>
      <c r="AH15" s="43"/>
      <c r="AI15" s="43"/>
      <c r="AJ15" s="43" t="str">
        <f>計算用!M5</f>
        <v/>
      </c>
      <c r="AK15" s="43"/>
      <c r="AL15" s="43"/>
      <c r="AM15" s="43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</row>
    <row r="16" spans="2:55">
      <c r="B16" s="10"/>
      <c r="C16" s="26"/>
      <c r="D16" s="26"/>
      <c r="E16" s="35"/>
      <c r="F16" s="37"/>
      <c r="G16" s="50"/>
      <c r="H16" s="50"/>
      <c r="I16" s="54"/>
      <c r="J16" s="60"/>
      <c r="K16" s="66"/>
      <c r="L16" s="73"/>
      <c r="M16" s="73"/>
      <c r="N16" s="73"/>
      <c r="O16" s="73"/>
      <c r="P16" s="28"/>
      <c r="Q16" s="28"/>
      <c r="R16" s="28"/>
      <c r="S16" s="28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43" t="str">
        <f>計算用!L6</f>
        <v/>
      </c>
      <c r="AG16" s="43"/>
      <c r="AH16" s="43"/>
      <c r="AI16" s="43"/>
      <c r="AJ16" s="43" t="str">
        <f>計算用!M6</f>
        <v/>
      </c>
      <c r="AK16" s="43"/>
      <c r="AL16" s="43"/>
      <c r="AM16" s="43"/>
      <c r="AZ16" s="1"/>
      <c r="BA16" s="1"/>
    </row>
    <row r="17" spans="2:66">
      <c r="B17" s="10"/>
      <c r="C17" s="26"/>
      <c r="D17" s="26"/>
      <c r="E17" s="35"/>
      <c r="F17" s="37"/>
      <c r="G17" s="50"/>
      <c r="H17" s="50"/>
      <c r="I17" s="54"/>
      <c r="J17" s="60"/>
      <c r="K17" s="66"/>
      <c r="L17" s="73"/>
      <c r="M17" s="73"/>
      <c r="N17" s="73"/>
      <c r="O17" s="73"/>
      <c r="P17" s="28"/>
      <c r="Q17" s="28"/>
      <c r="R17" s="28"/>
      <c r="S17" s="28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43" t="str">
        <f>計算用!L7</f>
        <v/>
      </c>
      <c r="AG17" s="43"/>
      <c r="AH17" s="43"/>
      <c r="AI17" s="43"/>
      <c r="AJ17" s="43" t="str">
        <f>計算用!M7</f>
        <v/>
      </c>
      <c r="AK17" s="43"/>
      <c r="AL17" s="43"/>
      <c r="AM17" s="43"/>
      <c r="AZ17" s="1"/>
      <c r="BA17" s="1"/>
    </row>
    <row r="18" spans="2:66" ht="6.6" customHeight="1">
      <c r="AI18" s="125"/>
      <c r="AJ18" s="125"/>
      <c r="AK18" s="125"/>
      <c r="AL18" s="125"/>
      <c r="AM18" s="125"/>
      <c r="AN18" s="125"/>
      <c r="AO18" s="125"/>
      <c r="AP18" s="125"/>
      <c r="AZ18" s="1"/>
      <c r="BA18" s="1"/>
      <c r="BF18" s="125"/>
      <c r="BG18" s="125"/>
      <c r="BH18" s="125"/>
      <c r="BI18" s="125"/>
    </row>
    <row r="19" spans="2:66">
      <c r="B19" s="8" t="s">
        <v>14</v>
      </c>
      <c r="C19" s="27" t="s">
        <v>36</v>
      </c>
      <c r="D19" s="27"/>
      <c r="E19" s="3"/>
      <c r="AI19" s="125"/>
      <c r="AJ19" s="125"/>
      <c r="AK19" s="125"/>
      <c r="AL19" s="125"/>
      <c r="AM19" s="125"/>
      <c r="AN19" s="125"/>
      <c r="AO19" s="125"/>
      <c r="AP19" s="125"/>
      <c r="AZ19" s="1"/>
      <c r="BA19" s="1"/>
      <c r="BF19" s="125"/>
      <c r="BG19" s="125"/>
      <c r="BH19" s="125"/>
      <c r="BI19" s="125"/>
    </row>
    <row r="20" spans="2:66">
      <c r="C20" s="28">
        <v>0</v>
      </c>
      <c r="D20" s="28"/>
      <c r="E20" s="27" t="s">
        <v>40</v>
      </c>
      <c r="AI20" s="125"/>
      <c r="AJ20" s="125"/>
      <c r="AK20" s="125"/>
      <c r="AL20" s="125"/>
      <c r="AM20" s="125"/>
      <c r="AN20" s="125"/>
      <c r="AO20" s="125"/>
      <c r="AP20" s="125"/>
      <c r="AZ20" s="1"/>
      <c r="BA20" s="1"/>
    </row>
    <row r="21" spans="2:66" ht="6.6" customHeight="1">
      <c r="AI21" s="125"/>
      <c r="AJ21" s="125"/>
      <c r="AK21" s="125"/>
      <c r="AL21" s="125"/>
      <c r="AM21" s="125"/>
      <c r="AN21" s="125"/>
      <c r="AO21" s="125"/>
      <c r="AP21" s="125"/>
      <c r="AZ21" s="1"/>
      <c r="BA21" s="1"/>
      <c r="BJ21" s="125"/>
      <c r="BK21" s="125"/>
      <c r="BL21" s="125"/>
      <c r="BM21" s="125"/>
    </row>
    <row r="22" spans="2:66" ht="18" customHeight="1">
      <c r="B22" s="7" t="s">
        <v>32</v>
      </c>
      <c r="AI22" s="125"/>
      <c r="AJ22" s="125"/>
      <c r="AK22" s="125"/>
      <c r="AL22" s="125"/>
      <c r="AM22" s="125"/>
      <c r="AN22" s="125"/>
      <c r="AO22" s="125"/>
      <c r="AP22" s="125"/>
      <c r="AQ22" s="125"/>
      <c r="AZ22" s="1"/>
      <c r="BA22" s="1"/>
      <c r="BJ22" s="125"/>
      <c r="BK22" s="125"/>
      <c r="BL22" s="125"/>
      <c r="BM22" s="125"/>
      <c r="BN22" s="125"/>
    </row>
    <row r="23" spans="2:66">
      <c r="B23" s="11"/>
      <c r="C23" s="11"/>
      <c r="D23" s="11"/>
      <c r="E23" s="11"/>
      <c r="F23" s="11" t="s">
        <v>42</v>
      </c>
      <c r="G23" s="11"/>
      <c r="H23" s="11"/>
      <c r="I23" s="11"/>
      <c r="J23" s="11"/>
      <c r="K23" s="11" t="s">
        <v>21</v>
      </c>
      <c r="L23" s="11"/>
      <c r="M23" s="11"/>
      <c r="N23" s="11"/>
      <c r="O23" s="11"/>
      <c r="P23" s="76" t="s">
        <v>37</v>
      </c>
      <c r="Q23" s="82"/>
      <c r="R23" s="82"/>
      <c r="S23" s="82"/>
      <c r="T23" s="94"/>
      <c r="AM23" s="125"/>
      <c r="AN23" s="125"/>
      <c r="AO23" s="125"/>
      <c r="AP23" s="125"/>
      <c r="AQ23" s="125"/>
      <c r="AZ23" s="1"/>
      <c r="BA23" s="1"/>
      <c r="BJ23" s="125"/>
      <c r="BK23" s="125"/>
      <c r="BL23" s="125"/>
      <c r="BM23" s="125"/>
      <c r="BN23" s="125"/>
    </row>
    <row r="24" spans="2:66">
      <c r="B24" s="12" t="s">
        <v>43</v>
      </c>
      <c r="C24" s="12"/>
      <c r="D24" s="12"/>
      <c r="E24" s="12"/>
      <c r="F24" s="12" t="s">
        <v>45</v>
      </c>
      <c r="G24" s="12"/>
      <c r="H24" s="12"/>
      <c r="I24" s="12"/>
      <c r="J24" s="12"/>
      <c r="K24" s="12" t="s">
        <v>45</v>
      </c>
      <c r="L24" s="12"/>
      <c r="M24" s="12"/>
      <c r="N24" s="12"/>
      <c r="O24" s="12"/>
      <c r="P24" s="9" t="s">
        <v>46</v>
      </c>
      <c r="Q24" s="25"/>
      <c r="R24" s="25"/>
      <c r="S24" s="25"/>
      <c r="T24" s="34"/>
      <c r="AM24" s="125"/>
      <c r="AN24" s="125"/>
      <c r="AO24" s="125"/>
      <c r="AP24" s="125"/>
      <c r="AQ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H24" s="125"/>
      <c r="BI24" s="125"/>
      <c r="BJ24" s="125"/>
      <c r="BK24" s="125"/>
      <c r="BL24" s="125"/>
    </row>
    <row r="25" spans="2:66" ht="18.75">
      <c r="B25" s="13" t="s">
        <v>24</v>
      </c>
      <c r="C25" s="13"/>
      <c r="D25" s="13"/>
      <c r="E25" s="13"/>
      <c r="F25" s="38" t="str">
        <f>計算用!S6</f>
        <v>7割軽減</v>
      </c>
      <c r="G25" s="13"/>
      <c r="H25" s="13"/>
      <c r="I25" s="13"/>
      <c r="J25" s="13"/>
      <c r="K25" s="13" t="str">
        <f>F25</f>
        <v>7割軽減</v>
      </c>
      <c r="L25" s="13"/>
      <c r="M25" s="13"/>
      <c r="N25" s="13"/>
      <c r="O25" s="13"/>
      <c r="P25" s="13" t="str">
        <f>K25</f>
        <v>7割軽減</v>
      </c>
      <c r="Q25" s="13"/>
      <c r="R25" s="13"/>
      <c r="S25" s="13"/>
      <c r="T25" s="13"/>
      <c r="AZ25" s="1"/>
      <c r="BA25" s="1"/>
      <c r="BB25" s="125"/>
      <c r="BC25" s="125"/>
      <c r="BD25" s="125"/>
    </row>
    <row r="26" spans="2:66">
      <c r="B26" s="13" t="s">
        <v>33</v>
      </c>
      <c r="C26" s="13"/>
      <c r="D26" s="13"/>
      <c r="E26" s="13"/>
      <c r="F26" s="39">
        <f>計算用!$S$4</f>
        <v>1</v>
      </c>
      <c r="G26" s="39"/>
      <c r="H26" s="39"/>
      <c r="I26" s="39"/>
      <c r="J26" s="39"/>
      <c r="K26" s="39">
        <f>$F$26</f>
        <v>1</v>
      </c>
      <c r="L26" s="39"/>
      <c r="M26" s="39"/>
      <c r="N26" s="39"/>
      <c r="O26" s="39"/>
      <c r="P26" s="77">
        <f>SUMIFS(計算用!$O$2:$O$7,計算用!$C$2:$C$7,"&gt;="&amp;マスタ管理!$C$13,計算用!$C$2:$C$7,"&lt;"&amp;マスタ管理!$D$13)</f>
        <v>0</v>
      </c>
      <c r="Q26" s="83"/>
      <c r="R26" s="83"/>
      <c r="S26" s="83"/>
      <c r="T26" s="95"/>
      <c r="W26" s="109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29"/>
      <c r="AZ26" s="1"/>
      <c r="BA26" s="1"/>
    </row>
    <row r="27" spans="2:66" ht="18.75">
      <c r="B27" s="13" t="s">
        <v>34</v>
      </c>
      <c r="C27" s="13"/>
      <c r="D27" s="13"/>
      <c r="E27" s="13"/>
      <c r="F27" s="40">
        <f>SUM($AJ$12:$AJ$17)</f>
        <v>0</v>
      </c>
      <c r="G27" s="51"/>
      <c r="H27" s="51"/>
      <c r="I27" s="51"/>
      <c r="J27" s="51"/>
      <c r="K27" s="40">
        <f>$F$27</f>
        <v>0</v>
      </c>
      <c r="L27" s="51"/>
      <c r="M27" s="51"/>
      <c r="N27" s="51"/>
      <c r="O27" s="51"/>
      <c r="P27" s="42">
        <f>SUMIFS($AJ$12:$AJ$17,$J$12:$J$17,"&gt;="&amp;マスタ管理!$C$13,$J$12:$J$17,"&lt;"&amp;マスタ管理!$D$13)</f>
        <v>0</v>
      </c>
      <c r="Q27" s="42"/>
      <c r="R27" s="42"/>
      <c r="S27" s="42"/>
      <c r="T27" s="42"/>
      <c r="W27" s="110" t="s">
        <v>6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8">
        <f>SUM(F33:T33)</f>
        <v>13100</v>
      </c>
      <c r="AH27" s="118"/>
      <c r="AI27" s="118"/>
      <c r="AJ27" s="118"/>
      <c r="AK27" s="126" t="s">
        <v>31</v>
      </c>
      <c r="AM27" s="130"/>
      <c r="AZ27" s="1"/>
      <c r="BA27" s="1"/>
    </row>
    <row r="28" spans="2:66" ht="18.75">
      <c r="B28" s="13" t="s">
        <v>4</v>
      </c>
      <c r="C28" s="13"/>
      <c r="D28" s="13"/>
      <c r="E28" s="13"/>
      <c r="F28" s="41">
        <f>マスタ管理!$B$11</f>
        <v>7.0000000000000007e-002</v>
      </c>
      <c r="G28" s="13"/>
      <c r="H28" s="13"/>
      <c r="I28" s="13"/>
      <c r="J28" s="13"/>
      <c r="K28" s="41">
        <f>マスタ管理!$B$12</f>
        <v>2.3e-002</v>
      </c>
      <c r="L28" s="13"/>
      <c r="M28" s="13"/>
      <c r="N28" s="13"/>
      <c r="O28" s="13"/>
      <c r="P28" s="78">
        <f>マスタ管理!$B$13</f>
        <v>2.e-002</v>
      </c>
      <c r="Q28" s="84"/>
      <c r="R28" s="84"/>
      <c r="S28" s="84"/>
      <c r="T28" s="96"/>
      <c r="W28" s="111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27"/>
      <c r="AL28" s="127"/>
      <c r="AM28" s="131"/>
      <c r="AZ28" s="1"/>
      <c r="BA28" s="1"/>
    </row>
    <row r="29" spans="2:66">
      <c r="B29" s="13" t="s">
        <v>38</v>
      </c>
      <c r="C29" s="13"/>
      <c r="D29" s="13"/>
      <c r="E29" s="13"/>
      <c r="F29" s="42">
        <f>$F$27*$F$28</f>
        <v>0</v>
      </c>
      <c r="G29" s="42"/>
      <c r="H29" s="42"/>
      <c r="I29" s="42"/>
      <c r="J29" s="42"/>
      <c r="K29" s="42">
        <f>$K$27*$K$28</f>
        <v>0</v>
      </c>
      <c r="L29" s="42"/>
      <c r="M29" s="42"/>
      <c r="N29" s="42"/>
      <c r="O29" s="42"/>
      <c r="P29" s="40">
        <f>$P$27*$P$28</f>
        <v>0</v>
      </c>
      <c r="Q29" s="51"/>
      <c r="R29" s="51"/>
      <c r="S29" s="51"/>
      <c r="T29" s="97"/>
      <c r="AZ29" s="1"/>
      <c r="BA29" s="1"/>
    </row>
    <row r="30" spans="2:66">
      <c r="B30" s="13" t="s">
        <v>39</v>
      </c>
      <c r="C30" s="13"/>
      <c r="D30" s="13"/>
      <c r="E30" s="13"/>
      <c r="F30" s="43">
        <f>_xlfn.IFS($F$25=マスタ管理!$B$16,マスタ管理!$B$17,$F$25=マスタ管理!$C$16,マスタ管理!$C$17,$F$25=マスタ管理!$D$16,マスタ管理!$D$17,$F$25=マスタ管理!E16,マスタ管理!$E$17)*F26</f>
        <v>6660</v>
      </c>
      <c r="G30" s="43"/>
      <c r="H30" s="43"/>
      <c r="I30" s="43"/>
      <c r="J30" s="43"/>
      <c r="K30" s="43">
        <f>_xlfn.IFS($K$25=マスタ管理!$B$16,マスタ管理!$B$18,$K$25=マスタ管理!$C$16,マスタ管理!$C$18,$K$25=マスタ管理!$D$16,マスタ管理!$D$18,$K$25=マスタ管理!$E$16,マスタ管理!$E$18)*K26</f>
        <v>3420</v>
      </c>
      <c r="L30" s="43"/>
      <c r="M30" s="43"/>
      <c r="N30" s="43"/>
      <c r="O30" s="43"/>
      <c r="P30" s="49">
        <f>_xlfn.IFS($P$25=マスタ管理!$B$16,マスタ管理!$B$19,$P$25=マスタ管理!$C$16,マスタ管理!$C$19,$P$25=マスタ管理!$D$16,マスタ管理!$D$19,$P$25=マスタ管理!$E$16,マスタ管理!$E$19)*P26</f>
        <v>0</v>
      </c>
      <c r="Q30" s="53"/>
      <c r="R30" s="53"/>
      <c r="S30" s="53"/>
      <c r="T30" s="98"/>
      <c r="AN30" s="132"/>
      <c r="AO30" s="132"/>
      <c r="AZ30" s="1"/>
      <c r="BA30" s="1"/>
    </row>
    <row r="31" spans="2:66">
      <c r="B31" s="14" t="s">
        <v>19</v>
      </c>
      <c r="C31" s="29"/>
      <c r="D31" s="29"/>
      <c r="E31" s="36"/>
      <c r="F31" s="43">
        <f>COUNTIF($J$12:$K$17,"&lt;="&amp;マスタ管理!$A$38)*_xlfn.IFS($F$25=マスタ管理!$E$16,マスタ管理!$E$17*マスタ管理!$B$38*-1,$F$25=マスタ管理!$D$16,マスタ管理!$D$17*マスタ管理!$B$38*-1,$F$25=マスタ管理!$C$16,マスタ管理!$C$17*マスタ管理!$B$38*-1,$F$25=マスタ管理!$B$16,マスタ管理!$B$17*マスタ管理!$B$38*-1)</f>
        <v>-3330</v>
      </c>
      <c r="G31" s="43"/>
      <c r="H31" s="43"/>
      <c r="I31" s="43"/>
      <c r="J31" s="43"/>
      <c r="K31" s="43">
        <f>COUNTIF($J$12:$K$17,"&lt;="&amp;マスタ管理!$A$38)*_xlfn.IFS($K$25=マスタ管理!$E$16,マスタ管理!$E$18*マスタ管理!$B$38*-1,$K$25=マスタ管理!$D$16,マスタ管理!$D$18*マスタ管理!$B$38*-1,$K$25=マスタ管理!$C$16,マスタ管理!$C$18*マスタ管理!$B$38*-1,$K$25=マスタ管理!$B$16,マスタ管理!$B$18*マスタ管理!$B$38*-1)</f>
        <v>-1710</v>
      </c>
      <c r="L31" s="43"/>
      <c r="M31" s="43"/>
      <c r="N31" s="43"/>
      <c r="O31" s="43"/>
      <c r="P31" s="79"/>
      <c r="Q31" s="79"/>
      <c r="R31" s="79"/>
      <c r="S31" s="79"/>
      <c r="T31" s="79"/>
      <c r="AN31" s="132"/>
      <c r="AO31" s="132"/>
      <c r="AZ31" s="1"/>
      <c r="BA31" s="1"/>
    </row>
    <row r="32" spans="2:66" ht="18.75">
      <c r="B32" s="15" t="s">
        <v>41</v>
      </c>
      <c r="C32" s="15"/>
      <c r="D32" s="15"/>
      <c r="E32" s="15"/>
      <c r="F32" s="44">
        <f>_xlfn.IFS($F$25=マスタ管理!$B$22,マスタ管理!$B$23,$F$25=マスタ管理!$C$22,マスタ管理!$C$23,$F$25=マスタ管理!$D$22,マスタ管理!$D$23,$F$25=マスタ管理!$E$22,マスタ管理!$E$23)</f>
        <v>8100</v>
      </c>
      <c r="G32" s="44"/>
      <c r="H32" s="44"/>
      <c r="I32" s="44"/>
      <c r="J32" s="44"/>
      <c r="K32" s="67"/>
      <c r="L32" s="67"/>
      <c r="M32" s="67"/>
      <c r="N32" s="67"/>
      <c r="O32" s="67"/>
      <c r="P32" s="67"/>
      <c r="Q32" s="67"/>
      <c r="R32" s="67"/>
      <c r="S32" s="67"/>
      <c r="T32" s="67"/>
      <c r="AZ32" s="1"/>
      <c r="BA32" s="1"/>
    </row>
    <row r="33" spans="2:53" ht="18.75">
      <c r="B33" s="16" t="s">
        <v>1</v>
      </c>
      <c r="C33" s="16"/>
      <c r="D33" s="16"/>
      <c r="E33" s="16"/>
      <c r="F33" s="45">
        <f>IF(ROUNDDOWN(SUM($F$29:$J$32),-2)&lt;=マスタ管理!$B$42,ROUNDDOWN(SUM($F$29:$J$32),-2),マスタ管理!$B$42)</f>
        <v>11400</v>
      </c>
      <c r="G33" s="45"/>
      <c r="H33" s="45"/>
      <c r="I33" s="45"/>
      <c r="J33" s="45"/>
      <c r="K33" s="68">
        <f>IF(ROUNDDOWN(SUM($K$29:$O$31),-2)&lt;=マスタ管理!$B$43,ROUNDDOWN(SUM($K$29:$O$31),-2),マスタ管理!$B$43)</f>
        <v>1700</v>
      </c>
      <c r="L33" s="74"/>
      <c r="M33" s="74"/>
      <c r="N33" s="74"/>
      <c r="O33" s="75"/>
      <c r="P33" s="80">
        <f>IF(ROUNDDOWN(SUM($P$29:$T$32),-2)&lt;=マスタ管理!$B$44,ROUNDDOWN(SUM($P$29:$T$32),-2),マスタ管理!$B$44)</f>
        <v>0</v>
      </c>
      <c r="Q33" s="85"/>
      <c r="R33" s="85"/>
      <c r="S33" s="85"/>
      <c r="T33" s="99"/>
      <c r="AZ33" s="1"/>
      <c r="BA33" s="1"/>
    </row>
    <row r="34" spans="2:53" ht="9.6" customHeight="1">
      <c r="AI34" s="125"/>
      <c r="AJ34" s="125"/>
      <c r="AK34" s="125"/>
      <c r="AL34" s="125"/>
      <c r="AM34" s="125"/>
      <c r="AN34" s="125"/>
      <c r="AO34" s="125"/>
      <c r="AP34" s="125"/>
      <c r="AW34" s="2"/>
      <c r="AX34" s="2"/>
      <c r="AZ34" s="1"/>
      <c r="BA34" s="1"/>
    </row>
    <row r="35" spans="2:53">
      <c r="B35" s="17" t="s">
        <v>50</v>
      </c>
      <c r="C35" s="17"/>
      <c r="D35" s="17"/>
      <c r="E35" s="17"/>
      <c r="F35" s="17"/>
      <c r="H35" s="17"/>
      <c r="I35" s="17"/>
      <c r="J35" s="61"/>
      <c r="K35" s="61"/>
      <c r="L35" s="61"/>
      <c r="M35" s="61"/>
      <c r="N35" s="61"/>
      <c r="O35" s="61"/>
      <c r="P35" s="81"/>
      <c r="Q35" s="81"/>
      <c r="R35" s="81"/>
      <c r="S35" s="81"/>
      <c r="T35" s="81"/>
      <c r="U35" s="81"/>
      <c r="V35" s="81"/>
      <c r="W35" s="81"/>
      <c r="X35" s="81"/>
      <c r="AZ35" s="1"/>
      <c r="BA35" s="1"/>
    </row>
    <row r="36" spans="2:53" ht="18.75">
      <c r="B36" s="18" t="s">
        <v>145</v>
      </c>
      <c r="C36" s="17"/>
      <c r="D36" s="17"/>
      <c r="E36" s="17"/>
      <c r="F36" s="17"/>
      <c r="H36" s="17"/>
      <c r="I36" s="17"/>
      <c r="J36" s="61"/>
      <c r="K36" s="61"/>
      <c r="L36" s="61"/>
      <c r="M36" s="61"/>
      <c r="N36" s="61"/>
      <c r="O36" s="61"/>
      <c r="P36" s="81"/>
      <c r="Q36" s="81"/>
      <c r="R36" s="81"/>
      <c r="S36" s="81"/>
      <c r="T36" s="81"/>
      <c r="U36" s="81"/>
      <c r="V36" s="81"/>
      <c r="W36" s="81"/>
      <c r="X36" s="81"/>
      <c r="AZ36" s="1"/>
      <c r="BA36" s="1"/>
    </row>
    <row r="37" spans="2:53">
      <c r="B37" s="19" t="s">
        <v>13</v>
      </c>
      <c r="C37" s="30"/>
      <c r="D37" s="30"/>
      <c r="E37" s="30"/>
      <c r="F37" s="46" t="s">
        <v>8</v>
      </c>
      <c r="G37" s="30"/>
      <c r="H37" s="30"/>
      <c r="I37" s="55"/>
      <c r="J37" s="21" t="s">
        <v>38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100"/>
      <c r="V37" s="105" t="s">
        <v>39</v>
      </c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9"/>
      <c r="AH37" s="122" t="s">
        <v>41</v>
      </c>
      <c r="AI37" s="112"/>
      <c r="AJ37" s="112"/>
      <c r="AK37" s="119"/>
      <c r="AL37" s="19" t="s">
        <v>1</v>
      </c>
      <c r="AM37" s="30"/>
      <c r="AN37" s="30"/>
      <c r="AO37" s="55"/>
      <c r="AY37" s="2"/>
      <c r="BA37" s="1"/>
    </row>
    <row r="38" spans="2:53" ht="18.75">
      <c r="B38" s="20"/>
      <c r="C38" s="31"/>
      <c r="D38" s="31"/>
      <c r="E38" s="31"/>
      <c r="F38" s="47"/>
      <c r="G38" s="31"/>
      <c r="H38" s="31"/>
      <c r="I38" s="56"/>
      <c r="J38" s="62" t="s">
        <v>42</v>
      </c>
      <c r="K38" s="69"/>
      <c r="L38" s="69"/>
      <c r="M38" s="69"/>
      <c r="N38" s="69" t="s">
        <v>21</v>
      </c>
      <c r="O38" s="69"/>
      <c r="P38" s="69"/>
      <c r="Q38" s="69"/>
      <c r="R38" s="88" t="s">
        <v>37</v>
      </c>
      <c r="S38" s="92"/>
      <c r="T38" s="92"/>
      <c r="U38" s="101"/>
      <c r="V38" s="106" t="s">
        <v>42</v>
      </c>
      <c r="W38" s="69"/>
      <c r="X38" s="69"/>
      <c r="Y38" s="69"/>
      <c r="Z38" s="69" t="s">
        <v>21</v>
      </c>
      <c r="AA38" s="69"/>
      <c r="AB38" s="69"/>
      <c r="AC38" s="69"/>
      <c r="AD38" s="69" t="s">
        <v>37</v>
      </c>
      <c r="AE38" s="69"/>
      <c r="AF38" s="69"/>
      <c r="AG38" s="120"/>
      <c r="AH38" s="62" t="s">
        <v>42</v>
      </c>
      <c r="AI38" s="69"/>
      <c r="AJ38" s="69"/>
      <c r="AK38" s="120"/>
      <c r="AL38" s="20"/>
      <c r="AM38" s="31"/>
      <c r="AN38" s="31"/>
      <c r="AO38" s="56"/>
      <c r="AY38" s="2"/>
      <c r="BA38" s="1"/>
    </row>
    <row r="39" spans="2:53">
      <c r="B39" s="21" t="str">
        <f t="shared" ref="B39:B44" si="0">IF(B12=0,"",B12)</f>
        <v>A</v>
      </c>
      <c r="C39" s="32"/>
      <c r="D39" s="32"/>
      <c r="E39" s="32"/>
      <c r="F39" s="48">
        <f t="shared" ref="F39:F44" si="1">AJ12</f>
        <v>0</v>
      </c>
      <c r="G39" s="52"/>
      <c r="H39" s="52"/>
      <c r="I39" s="57"/>
      <c r="J39" s="63">
        <f t="shared" ref="J39:J44" si="2">IFERROR(F39*$F$28,"")</f>
        <v>0</v>
      </c>
      <c r="K39" s="70"/>
      <c r="L39" s="70"/>
      <c r="M39" s="70"/>
      <c r="N39" s="70">
        <f t="shared" ref="N39:N44" si="3">IFERROR(F39*$K$28,"")</f>
        <v>0</v>
      </c>
      <c r="O39" s="70"/>
      <c r="P39" s="70"/>
      <c r="Q39" s="86"/>
      <c r="R39" s="89">
        <f>IFERROR(_xlfn.IFS(AND($J12&gt;=マスタ管理!$C$13,$J12&lt;マスタ管理!$D$13),$F39*$P$28,AND($J12&lt;&gt;"",OR($J12&lt;マスタ管理!$C$13,$J12&gt;=マスタ管理!$D$13)),0),"")</f>
        <v>0</v>
      </c>
      <c r="S39" s="89"/>
      <c r="T39" s="89"/>
      <c r="U39" s="102"/>
      <c r="V39" s="107">
        <f>IFERROR(_xlfn.IFS($J12&gt;マスタ管理!$A$38,$F$30/$F$26,AND($J12&lt;&gt;"",$J12&lt;=マスタ管理!$A$38),$F$30/$F$26/2),"")</f>
        <v>3330</v>
      </c>
      <c r="W39" s="70"/>
      <c r="X39" s="70"/>
      <c r="Y39" s="70"/>
      <c r="Z39" s="107">
        <f>IFERROR(_xlfn.IFS($J12&gt;マスタ管理!$A$38,$K$30/$K$26,AND($J12&lt;&gt;"",$J12&lt;=マスタ管理!$A$38),$K$30/$K$26/2),"")</f>
        <v>1710</v>
      </c>
      <c r="AA39" s="70"/>
      <c r="AB39" s="70"/>
      <c r="AC39" s="70"/>
      <c r="AD39" s="107">
        <f>IFERROR(_xlfn.IFS(AND($J12&gt;=マスタ管理!$C$13,$J12&lt;マスタ管理!$D$13),$P$30/$P$26,AND($J12&lt;&gt;"",OR($J12&lt;=マスタ管理!$C$13,$J12&gt;マスタ管理!$D$13)),0),"")</f>
        <v>0</v>
      </c>
      <c r="AE39" s="70"/>
      <c r="AF39" s="70"/>
      <c r="AG39" s="70"/>
      <c r="AH39" s="123">
        <f t="shared" ref="AH39:AH44" si="4">IF(B12&lt;&gt;"",$F$32/COUNTA($B$12:$E$17),"")</f>
        <v>8100</v>
      </c>
      <c r="AI39" s="89"/>
      <c r="AJ39" s="89"/>
      <c r="AK39" s="102"/>
      <c r="AL39" s="123">
        <f t="shared" ref="AL39:AL44" si="5">IFERROR(AH39+AD39+Z39+V39+R39+N39+J39,"")</f>
        <v>13140</v>
      </c>
      <c r="AM39" s="89"/>
      <c r="AN39" s="89"/>
      <c r="AO39" s="102"/>
      <c r="AY39" s="2"/>
      <c r="BA39" s="1"/>
    </row>
    <row r="40" spans="2:53">
      <c r="B40" s="22" t="str">
        <f t="shared" si="0"/>
        <v/>
      </c>
      <c r="C40" s="25"/>
      <c r="D40" s="25"/>
      <c r="E40" s="25"/>
      <c r="F40" s="49" t="str">
        <f t="shared" si="1"/>
        <v/>
      </c>
      <c r="G40" s="53"/>
      <c r="H40" s="53"/>
      <c r="I40" s="58"/>
      <c r="J40" s="63" t="str">
        <f t="shared" si="2"/>
        <v/>
      </c>
      <c r="K40" s="70"/>
      <c r="L40" s="70"/>
      <c r="M40" s="70"/>
      <c r="N40" s="70" t="str">
        <f t="shared" si="3"/>
        <v/>
      </c>
      <c r="O40" s="70"/>
      <c r="P40" s="70"/>
      <c r="Q40" s="86"/>
      <c r="R40" s="89" t="str">
        <f>IFERROR(_xlfn.IFS(AND($J13&gt;=マスタ管理!$C$13,$J13&lt;マスタ管理!$D$13),$F40*$P$28,AND($J13&lt;&gt;"",OR($J13&lt;マスタ管理!$C$13,$J13&gt;=マスタ管理!$D$13)),0),"")</f>
        <v/>
      </c>
      <c r="S40" s="89"/>
      <c r="T40" s="89"/>
      <c r="U40" s="102"/>
      <c r="V40" s="107" t="str">
        <f>IFERROR(_xlfn.IFS($J13&gt;マスタ管理!$A$38,$F$30/$F$26,AND($J13&lt;&gt;"",$J13&lt;=マスタ管理!$A$38),$F$30/$F$26/2),"")</f>
        <v/>
      </c>
      <c r="W40" s="70"/>
      <c r="X40" s="70"/>
      <c r="Y40" s="70"/>
      <c r="Z40" s="107" t="str">
        <f>IFERROR(_xlfn.IFS($J13&gt;マスタ管理!$A$38,$K$30/$K$26,AND($J13&lt;&gt;"",$J13&lt;=マスタ管理!$A$38),$K$30/$K$26/2),"")</f>
        <v/>
      </c>
      <c r="AA40" s="70"/>
      <c r="AB40" s="70"/>
      <c r="AC40" s="70"/>
      <c r="AD40" s="107" t="str">
        <f>IFERROR(_xlfn.IFS(AND($J13&gt;=マスタ管理!$C$13,$J13&lt;マスタ管理!$D$13),$P$30/$P$26,AND($J13&lt;&gt;"",OR($J13&lt;=マスタ管理!$C$13,$J13&gt;マスタ管理!$D$13)),0),"")</f>
        <v/>
      </c>
      <c r="AE40" s="70"/>
      <c r="AF40" s="70"/>
      <c r="AG40" s="70"/>
      <c r="AH40" s="123" t="str">
        <f t="shared" si="4"/>
        <v/>
      </c>
      <c r="AI40" s="89"/>
      <c r="AJ40" s="89"/>
      <c r="AK40" s="102"/>
      <c r="AL40" s="123" t="str">
        <f t="shared" si="5"/>
        <v/>
      </c>
      <c r="AM40" s="89"/>
      <c r="AN40" s="89"/>
      <c r="AO40" s="102"/>
      <c r="AY40" s="2"/>
      <c r="BA40" s="1"/>
    </row>
    <row r="41" spans="2:53">
      <c r="B41" s="22" t="str">
        <f t="shared" si="0"/>
        <v/>
      </c>
      <c r="C41" s="25"/>
      <c r="D41" s="25"/>
      <c r="E41" s="25"/>
      <c r="F41" s="49" t="str">
        <f t="shared" si="1"/>
        <v/>
      </c>
      <c r="G41" s="53"/>
      <c r="H41" s="53"/>
      <c r="I41" s="58"/>
      <c r="J41" s="63" t="str">
        <f t="shared" si="2"/>
        <v/>
      </c>
      <c r="K41" s="70"/>
      <c r="L41" s="70"/>
      <c r="M41" s="70"/>
      <c r="N41" s="70" t="str">
        <f t="shared" si="3"/>
        <v/>
      </c>
      <c r="O41" s="70"/>
      <c r="P41" s="70"/>
      <c r="Q41" s="86"/>
      <c r="R41" s="89" t="str">
        <f>IFERROR(_xlfn.IFS(AND($J14&gt;=マスタ管理!$C$13,$J14&lt;マスタ管理!$D$13),$F41*$P$28,AND($J14&lt;&gt;"",OR($J14&lt;マスタ管理!$C$13,$J14&gt;=マスタ管理!$D$13)),0),"")</f>
        <v/>
      </c>
      <c r="S41" s="89"/>
      <c r="T41" s="89"/>
      <c r="U41" s="102"/>
      <c r="V41" s="107" t="str">
        <f>IFERROR(_xlfn.IFS($J14&gt;マスタ管理!$A$38,$F$30/$F$26,AND($J14&lt;&gt;"",$J14&lt;=マスタ管理!$A$38),$F$30/$F$26/2),"")</f>
        <v/>
      </c>
      <c r="W41" s="70"/>
      <c r="X41" s="70"/>
      <c r="Y41" s="70"/>
      <c r="Z41" s="107" t="str">
        <f>IFERROR(_xlfn.IFS($J14&gt;マスタ管理!$A$38,$K$30/$K$26,AND($J14&lt;&gt;"",$J14&lt;=マスタ管理!$A$38),$K$30/$K$26/2),"")</f>
        <v/>
      </c>
      <c r="AA41" s="70"/>
      <c r="AB41" s="70"/>
      <c r="AC41" s="70"/>
      <c r="AD41" s="107" t="str">
        <f>IFERROR(_xlfn.IFS(AND($J14&gt;=マスタ管理!$C$13,$J14&lt;マスタ管理!$D$13),$P$30/$P$26,AND($J14&lt;&gt;"",OR($J14&lt;=マスタ管理!$C$13,$J14&gt;マスタ管理!$D$13)),0),"")</f>
        <v/>
      </c>
      <c r="AE41" s="70"/>
      <c r="AF41" s="70"/>
      <c r="AG41" s="70"/>
      <c r="AH41" s="123" t="str">
        <f t="shared" si="4"/>
        <v/>
      </c>
      <c r="AI41" s="89"/>
      <c r="AJ41" s="89"/>
      <c r="AK41" s="102"/>
      <c r="AL41" s="123" t="str">
        <f t="shared" si="5"/>
        <v/>
      </c>
      <c r="AM41" s="89"/>
      <c r="AN41" s="89"/>
      <c r="AO41" s="102"/>
      <c r="AY41" s="2"/>
      <c r="BA41" s="1"/>
    </row>
    <row r="42" spans="2:53">
      <c r="B42" s="22" t="str">
        <f t="shared" si="0"/>
        <v/>
      </c>
      <c r="C42" s="25"/>
      <c r="D42" s="25"/>
      <c r="E42" s="25"/>
      <c r="F42" s="49" t="str">
        <f t="shared" si="1"/>
        <v/>
      </c>
      <c r="G42" s="53"/>
      <c r="H42" s="53"/>
      <c r="I42" s="58"/>
      <c r="J42" s="63" t="str">
        <f t="shared" si="2"/>
        <v/>
      </c>
      <c r="K42" s="70"/>
      <c r="L42" s="70"/>
      <c r="M42" s="70"/>
      <c r="N42" s="70" t="str">
        <f t="shared" si="3"/>
        <v/>
      </c>
      <c r="O42" s="70"/>
      <c r="P42" s="70"/>
      <c r="Q42" s="86"/>
      <c r="R42" s="89" t="str">
        <f>IFERROR(_xlfn.IFS(AND($J15&gt;=マスタ管理!$C$13,$J15&lt;マスタ管理!$D$13),$F42*$P$28,AND($J15&lt;&gt;"",OR($J15&lt;マスタ管理!$C$13,$J15&gt;=マスタ管理!$D$13)),0),"")</f>
        <v/>
      </c>
      <c r="S42" s="89"/>
      <c r="T42" s="89"/>
      <c r="U42" s="102"/>
      <c r="V42" s="107" t="str">
        <f>IFERROR(_xlfn.IFS($J15&gt;マスタ管理!$A$38,$F$30/$F$26,AND($J15&lt;&gt;"",$J15&lt;=マスタ管理!$A$38),$F$30/$F$26/2),"")</f>
        <v/>
      </c>
      <c r="W42" s="70"/>
      <c r="X42" s="70"/>
      <c r="Y42" s="70"/>
      <c r="Z42" s="107" t="str">
        <f>IFERROR(_xlfn.IFS($J15&gt;マスタ管理!$A$38,$K$30/$K$26,AND($J15&lt;&gt;"",$J15&lt;=マスタ管理!$A$38),$K$30/$K$26/2),"")</f>
        <v/>
      </c>
      <c r="AA42" s="70"/>
      <c r="AB42" s="70"/>
      <c r="AC42" s="70"/>
      <c r="AD42" s="107" t="str">
        <f>IFERROR(_xlfn.IFS(AND($J15&gt;=マスタ管理!$C$13,$J15&lt;マスタ管理!$D$13),$P$30/$P$26,AND($J15&lt;&gt;"",OR($J15&lt;=マスタ管理!$C$13,$J15&gt;マスタ管理!$D$13)),0),"")</f>
        <v/>
      </c>
      <c r="AE42" s="70"/>
      <c r="AF42" s="70"/>
      <c r="AG42" s="70"/>
      <c r="AH42" s="123" t="str">
        <f t="shared" si="4"/>
        <v/>
      </c>
      <c r="AI42" s="89"/>
      <c r="AJ42" s="89"/>
      <c r="AK42" s="102"/>
      <c r="AL42" s="123" t="str">
        <f t="shared" si="5"/>
        <v/>
      </c>
      <c r="AM42" s="89"/>
      <c r="AN42" s="89"/>
      <c r="AO42" s="102"/>
      <c r="AY42" s="2"/>
      <c r="BA42" s="1"/>
    </row>
    <row r="43" spans="2:53">
      <c r="B43" s="22" t="str">
        <f t="shared" si="0"/>
        <v/>
      </c>
      <c r="C43" s="25"/>
      <c r="D43" s="25"/>
      <c r="E43" s="25"/>
      <c r="F43" s="49" t="str">
        <f t="shared" si="1"/>
        <v/>
      </c>
      <c r="G43" s="53"/>
      <c r="H43" s="53"/>
      <c r="I43" s="58"/>
      <c r="J43" s="63" t="str">
        <f t="shared" si="2"/>
        <v/>
      </c>
      <c r="K43" s="70"/>
      <c r="L43" s="70"/>
      <c r="M43" s="70"/>
      <c r="N43" s="70" t="str">
        <f t="shared" si="3"/>
        <v/>
      </c>
      <c r="O43" s="70"/>
      <c r="P43" s="70"/>
      <c r="Q43" s="86"/>
      <c r="R43" s="89" t="str">
        <f>IFERROR(_xlfn.IFS(AND($J16&gt;=マスタ管理!$C$13,$J16&lt;マスタ管理!$D$13),$F43*$P$28,AND($J16&lt;&gt;"",OR($J16&lt;マスタ管理!$C$13,$J16&gt;=マスタ管理!$D$13)),0),"")</f>
        <v/>
      </c>
      <c r="S43" s="89"/>
      <c r="T43" s="89"/>
      <c r="U43" s="102"/>
      <c r="V43" s="107" t="str">
        <f>IFERROR(_xlfn.IFS($J16&gt;マスタ管理!$A$38,$F$30/$F$26,AND($J16&lt;&gt;"",$J16&lt;=マスタ管理!$A$38),$F$30/$F$26/2),"")</f>
        <v/>
      </c>
      <c r="W43" s="70"/>
      <c r="X43" s="70"/>
      <c r="Y43" s="70"/>
      <c r="Z43" s="107" t="str">
        <f>IFERROR(_xlfn.IFS($J16&gt;マスタ管理!$A$38,$K$30/$K$26,AND($J16&lt;&gt;"",$J16&lt;=マスタ管理!$A$38),$K$30/$K$26/2),"")</f>
        <v/>
      </c>
      <c r="AA43" s="70"/>
      <c r="AB43" s="70"/>
      <c r="AC43" s="70"/>
      <c r="AD43" s="107" t="str">
        <f>IFERROR(_xlfn.IFS(AND($J16&gt;=マスタ管理!$C$13,$J16&lt;マスタ管理!$D$13),$P$30/$P$26,AND($J16&lt;&gt;"",OR($J16&lt;=マスタ管理!$C$13,$J16&gt;マスタ管理!$D$13)),0),"")</f>
        <v/>
      </c>
      <c r="AE43" s="70"/>
      <c r="AF43" s="70"/>
      <c r="AG43" s="70"/>
      <c r="AH43" s="123" t="str">
        <f t="shared" si="4"/>
        <v/>
      </c>
      <c r="AI43" s="89"/>
      <c r="AJ43" s="89"/>
      <c r="AK43" s="102"/>
      <c r="AL43" s="123" t="str">
        <f t="shared" si="5"/>
        <v/>
      </c>
      <c r="AM43" s="89"/>
      <c r="AN43" s="89"/>
      <c r="AO43" s="102"/>
      <c r="AY43" s="2"/>
      <c r="BA43" s="1"/>
    </row>
    <row r="44" spans="2:53" ht="18.75">
      <c r="B44" s="22" t="str">
        <f t="shared" si="0"/>
        <v/>
      </c>
      <c r="C44" s="25"/>
      <c r="D44" s="25"/>
      <c r="E44" s="25"/>
      <c r="F44" s="49" t="str">
        <f t="shared" si="1"/>
        <v/>
      </c>
      <c r="G44" s="53"/>
      <c r="H44" s="53"/>
      <c r="I44" s="58"/>
      <c r="J44" s="64" t="str">
        <f t="shared" si="2"/>
        <v/>
      </c>
      <c r="K44" s="71"/>
      <c r="L44" s="71"/>
      <c r="M44" s="71"/>
      <c r="N44" s="71" t="str">
        <f t="shared" si="3"/>
        <v/>
      </c>
      <c r="O44" s="71"/>
      <c r="P44" s="71"/>
      <c r="Q44" s="87"/>
      <c r="R44" s="90" t="str">
        <f>IFERROR(_xlfn.IFS(AND($J17&gt;=マスタ管理!$C$13,$J17&lt;マスタ管理!$D$13),$F44*$P$28,AND($J17&lt;&gt;"",OR($J17&lt;マスタ管理!$C$13,$J17&gt;=マスタ管理!$D$13)),0),"")</f>
        <v/>
      </c>
      <c r="S44" s="90"/>
      <c r="T44" s="90"/>
      <c r="U44" s="103"/>
      <c r="V44" s="64" t="str">
        <f>IFERROR(_xlfn.IFS($J17&gt;マスタ管理!$A$38,$F$30/$F$26,AND($J17&lt;&gt;"",$J17&lt;=マスタ管理!$A$38),$F$30/$F$26/2),"")</f>
        <v/>
      </c>
      <c r="W44" s="71"/>
      <c r="X44" s="71"/>
      <c r="Y44" s="71"/>
      <c r="Z44" s="117" t="str">
        <f>IFERROR(_xlfn.IFS($J17&gt;マスタ管理!$A$38,$K$30/$K$26,AND($J17&lt;&gt;"",$J17&lt;=マスタ管理!$A$38),$K$30/$K$26/2),"")</f>
        <v/>
      </c>
      <c r="AA44" s="71"/>
      <c r="AB44" s="71"/>
      <c r="AC44" s="71"/>
      <c r="AD44" s="117" t="str">
        <f>IFERROR(_xlfn.IFS(AND($J17&gt;=マスタ管理!$C$13,$J17&lt;マスタ管理!$D$13),$P$30/$P$26,AND($J17&lt;&gt;"",OR($J17&lt;=マスタ管理!$C$13,$J17&gt;マスタ管理!$D$13)),0),"")</f>
        <v/>
      </c>
      <c r="AE44" s="71"/>
      <c r="AF44" s="71"/>
      <c r="AG44" s="71"/>
      <c r="AH44" s="124" t="str">
        <f t="shared" si="4"/>
        <v/>
      </c>
      <c r="AI44" s="90"/>
      <c r="AJ44" s="90"/>
      <c r="AK44" s="103"/>
      <c r="AL44" s="124" t="str">
        <f t="shared" si="5"/>
        <v/>
      </c>
      <c r="AM44" s="90"/>
      <c r="AN44" s="90"/>
      <c r="AO44" s="103"/>
      <c r="AY44" s="2"/>
      <c r="BA44" s="1"/>
    </row>
    <row r="45" spans="2:53" ht="19.5">
      <c r="B45" s="23" t="s">
        <v>49</v>
      </c>
      <c r="C45" s="33"/>
      <c r="D45" s="33"/>
      <c r="E45" s="33"/>
      <c r="F45" s="33"/>
      <c r="G45" s="33"/>
      <c r="H45" s="33"/>
      <c r="I45" s="59"/>
      <c r="J45" s="65">
        <f>SUM(J39:M44)</f>
        <v>0</v>
      </c>
      <c r="K45" s="72"/>
      <c r="L45" s="72"/>
      <c r="M45" s="72"/>
      <c r="N45" s="72">
        <f>SUM(N39:Q44)</f>
        <v>0</v>
      </c>
      <c r="O45" s="72"/>
      <c r="P45" s="72"/>
      <c r="Q45" s="72"/>
      <c r="R45" s="91">
        <f>SUM(R39:U44)</f>
        <v>0</v>
      </c>
      <c r="S45" s="93"/>
      <c r="T45" s="93"/>
      <c r="U45" s="104"/>
      <c r="V45" s="108">
        <f>SUM(V39:Y44)</f>
        <v>3330</v>
      </c>
      <c r="W45" s="113"/>
      <c r="X45" s="113"/>
      <c r="Y45" s="113"/>
      <c r="Z45" s="72">
        <f>SUM(Z39:AC44)</f>
        <v>1710</v>
      </c>
      <c r="AA45" s="113"/>
      <c r="AB45" s="113"/>
      <c r="AC45" s="113"/>
      <c r="AD45" s="72">
        <f>SUM(AD39:AG44)</f>
        <v>0</v>
      </c>
      <c r="AE45" s="113"/>
      <c r="AF45" s="113"/>
      <c r="AG45" s="121"/>
      <c r="AH45" s="65">
        <f>SUM(AH39:AK44)</f>
        <v>8100</v>
      </c>
      <c r="AI45" s="72"/>
      <c r="AJ45" s="72"/>
      <c r="AK45" s="128"/>
      <c r="AL45" s="65">
        <f>ROUNDDOWN(SUM(J45:AK45),-2)</f>
        <v>13100</v>
      </c>
      <c r="AM45" s="72"/>
      <c r="AN45" s="72"/>
      <c r="AO45" s="128"/>
      <c r="AY45" s="2"/>
      <c r="BA45" s="1"/>
    </row>
    <row r="46" spans="2:53">
      <c r="C46" s="17"/>
    </row>
  </sheetData>
  <sheetProtection password="CB89" sheet="1" objects="1" scenarios="1"/>
  <mergeCells count="202">
    <mergeCell ref="B1:AP1"/>
    <mergeCell ref="C9:D9"/>
    <mergeCell ref="B11:E11"/>
    <mergeCell ref="F11:I11"/>
    <mergeCell ref="J11:K11"/>
    <mergeCell ref="L11:O11"/>
    <mergeCell ref="P11:S11"/>
    <mergeCell ref="T11:W11"/>
    <mergeCell ref="X11:AA11"/>
    <mergeCell ref="AB11:AE11"/>
    <mergeCell ref="AF11:AI11"/>
    <mergeCell ref="AJ11:AM11"/>
    <mergeCell ref="AQ11:AW11"/>
    <mergeCell ref="B12:E12"/>
    <mergeCell ref="F12:I12"/>
    <mergeCell ref="J12:K12"/>
    <mergeCell ref="L12:O12"/>
    <mergeCell ref="P12:S12"/>
    <mergeCell ref="T12:W12"/>
    <mergeCell ref="X12:AA12"/>
    <mergeCell ref="AB12:AE12"/>
    <mergeCell ref="AF12:AI12"/>
    <mergeCell ref="AJ12:AM12"/>
    <mergeCell ref="B13:E13"/>
    <mergeCell ref="F13:I13"/>
    <mergeCell ref="J13:K13"/>
    <mergeCell ref="L13:O13"/>
    <mergeCell ref="P13:S13"/>
    <mergeCell ref="T13:W13"/>
    <mergeCell ref="X13:AA13"/>
    <mergeCell ref="AB13:AE13"/>
    <mergeCell ref="AF13:AI13"/>
    <mergeCell ref="AJ13:AM13"/>
    <mergeCell ref="B14:E14"/>
    <mergeCell ref="F14:I14"/>
    <mergeCell ref="J14:K14"/>
    <mergeCell ref="L14:O14"/>
    <mergeCell ref="P14:S14"/>
    <mergeCell ref="T14:W14"/>
    <mergeCell ref="X14:AA14"/>
    <mergeCell ref="AB14:AE14"/>
    <mergeCell ref="AF14:AI14"/>
    <mergeCell ref="AJ14:AM14"/>
    <mergeCell ref="B15:E15"/>
    <mergeCell ref="F15:I15"/>
    <mergeCell ref="J15:K15"/>
    <mergeCell ref="L15:O15"/>
    <mergeCell ref="P15:S15"/>
    <mergeCell ref="T15:W15"/>
    <mergeCell ref="X15:AA15"/>
    <mergeCell ref="AB15:AE15"/>
    <mergeCell ref="AF15:AI15"/>
    <mergeCell ref="AJ15:AM15"/>
    <mergeCell ref="B16:E16"/>
    <mergeCell ref="F16:I16"/>
    <mergeCell ref="J16:K16"/>
    <mergeCell ref="L16:O16"/>
    <mergeCell ref="P16:S16"/>
    <mergeCell ref="T16:W16"/>
    <mergeCell ref="X16:AA16"/>
    <mergeCell ref="AB16:AE16"/>
    <mergeCell ref="AF16:AI16"/>
    <mergeCell ref="AJ16:AM16"/>
    <mergeCell ref="B17:E17"/>
    <mergeCell ref="F17:I17"/>
    <mergeCell ref="J17:K17"/>
    <mergeCell ref="L17:O17"/>
    <mergeCell ref="P17:S17"/>
    <mergeCell ref="T17:W17"/>
    <mergeCell ref="X17:AA17"/>
    <mergeCell ref="AB17:AE17"/>
    <mergeCell ref="AF17:AI17"/>
    <mergeCell ref="AJ17:AM17"/>
    <mergeCell ref="C20:D20"/>
    <mergeCell ref="B23:E23"/>
    <mergeCell ref="F23:J23"/>
    <mergeCell ref="K23:O23"/>
    <mergeCell ref="P23:T23"/>
    <mergeCell ref="B24:E24"/>
    <mergeCell ref="F24:J24"/>
    <mergeCell ref="K24:O24"/>
    <mergeCell ref="P24:T24"/>
    <mergeCell ref="B25:E25"/>
    <mergeCell ref="F25:J25"/>
    <mergeCell ref="K25:O25"/>
    <mergeCell ref="P25:T25"/>
    <mergeCell ref="B26:E26"/>
    <mergeCell ref="F26:J26"/>
    <mergeCell ref="K26:O26"/>
    <mergeCell ref="P26:T26"/>
    <mergeCell ref="B27:E27"/>
    <mergeCell ref="F27:J27"/>
    <mergeCell ref="K27:O27"/>
    <mergeCell ref="P27:T27"/>
    <mergeCell ref="W27:AF27"/>
    <mergeCell ref="AG27:AJ27"/>
    <mergeCell ref="B28:E28"/>
    <mergeCell ref="F28:J28"/>
    <mergeCell ref="K28:O28"/>
    <mergeCell ref="P28:T28"/>
    <mergeCell ref="B29:E29"/>
    <mergeCell ref="F29:J29"/>
    <mergeCell ref="K29:O29"/>
    <mergeCell ref="P29:T29"/>
    <mergeCell ref="B30:E30"/>
    <mergeCell ref="F30:J30"/>
    <mergeCell ref="K30:O30"/>
    <mergeCell ref="P30:T30"/>
    <mergeCell ref="B31:E31"/>
    <mergeCell ref="F31:J31"/>
    <mergeCell ref="K31:O31"/>
    <mergeCell ref="P31:T31"/>
    <mergeCell ref="B32:E32"/>
    <mergeCell ref="F32:J32"/>
    <mergeCell ref="K32:T32"/>
    <mergeCell ref="B33:E33"/>
    <mergeCell ref="F33:J33"/>
    <mergeCell ref="K33:O33"/>
    <mergeCell ref="P33:T33"/>
    <mergeCell ref="J37:U37"/>
    <mergeCell ref="V37:AG37"/>
    <mergeCell ref="AH37:AK37"/>
    <mergeCell ref="J38:M38"/>
    <mergeCell ref="N38:Q38"/>
    <mergeCell ref="R38:U38"/>
    <mergeCell ref="V38:Y38"/>
    <mergeCell ref="Z38:AC38"/>
    <mergeCell ref="AD38:AG38"/>
    <mergeCell ref="AH38:AK38"/>
    <mergeCell ref="B39:E39"/>
    <mergeCell ref="F39:I39"/>
    <mergeCell ref="J39:M39"/>
    <mergeCell ref="N39:Q39"/>
    <mergeCell ref="R39:U39"/>
    <mergeCell ref="V39:Y39"/>
    <mergeCell ref="Z39:AC39"/>
    <mergeCell ref="AD39:AG39"/>
    <mergeCell ref="AH39:AK39"/>
    <mergeCell ref="AL39:AO39"/>
    <mergeCell ref="B40:E40"/>
    <mergeCell ref="F40:I40"/>
    <mergeCell ref="J40:M40"/>
    <mergeCell ref="N40:Q40"/>
    <mergeCell ref="R40:U40"/>
    <mergeCell ref="V40:Y40"/>
    <mergeCell ref="Z40:AC40"/>
    <mergeCell ref="AD40:AG40"/>
    <mergeCell ref="AH40:AK40"/>
    <mergeCell ref="AL40:AO40"/>
    <mergeCell ref="B41:E41"/>
    <mergeCell ref="F41:I41"/>
    <mergeCell ref="J41:M41"/>
    <mergeCell ref="N41:Q41"/>
    <mergeCell ref="R41:U41"/>
    <mergeCell ref="V41:Y41"/>
    <mergeCell ref="Z41:AC41"/>
    <mergeCell ref="AD41:AG41"/>
    <mergeCell ref="AH41:AK41"/>
    <mergeCell ref="AL41:AO41"/>
    <mergeCell ref="B42:E42"/>
    <mergeCell ref="F42:I42"/>
    <mergeCell ref="J42:M42"/>
    <mergeCell ref="N42:Q42"/>
    <mergeCell ref="R42:U42"/>
    <mergeCell ref="V42:Y42"/>
    <mergeCell ref="Z42:AC42"/>
    <mergeCell ref="AD42:AG42"/>
    <mergeCell ref="AH42:AK42"/>
    <mergeCell ref="AL42:AO42"/>
    <mergeCell ref="B43:E43"/>
    <mergeCell ref="F43:I43"/>
    <mergeCell ref="J43:M43"/>
    <mergeCell ref="N43:Q43"/>
    <mergeCell ref="R43:U43"/>
    <mergeCell ref="V43:Y43"/>
    <mergeCell ref="Z43:AC43"/>
    <mergeCell ref="AD43:AG43"/>
    <mergeCell ref="AH43:AK43"/>
    <mergeCell ref="AL43:AO43"/>
    <mergeCell ref="B44:E44"/>
    <mergeCell ref="F44:I44"/>
    <mergeCell ref="J44:M44"/>
    <mergeCell ref="N44:Q44"/>
    <mergeCell ref="R44:U44"/>
    <mergeCell ref="V44:Y44"/>
    <mergeCell ref="Z44:AC44"/>
    <mergeCell ref="AD44:AG44"/>
    <mergeCell ref="AH44:AK44"/>
    <mergeCell ref="AL44:AO44"/>
    <mergeCell ref="B45:I45"/>
    <mergeCell ref="J45:M45"/>
    <mergeCell ref="N45:Q45"/>
    <mergeCell ref="R45:U45"/>
    <mergeCell ref="V45:Y45"/>
    <mergeCell ref="Z45:AC45"/>
    <mergeCell ref="AD45:AG45"/>
    <mergeCell ref="AH45:AK45"/>
    <mergeCell ref="AL45:AO45"/>
    <mergeCell ref="B2:AT5"/>
    <mergeCell ref="B37:E38"/>
    <mergeCell ref="F37:I38"/>
    <mergeCell ref="AL37:AO38"/>
  </mergeCells>
  <phoneticPr fontId="1" type="Hiragana"/>
  <dataValidations count="12">
    <dataValidation allowBlank="1" showDropDown="0" showInputMessage="1" showErrorMessage="1" prompt="源泉徴収票の支払金額の合計を入力してください。" sqref="L12:O17"/>
    <dataValidation allowBlank="1" showDropDown="0" showInputMessage="1" showErrorMessage="1" prompt="公的年金の源泉徴収票の支払金額を入力してください。_x000a_※遺族年金は含めません。" sqref="T12:W17"/>
    <dataValidation allowBlank="1" showDropDown="0" showInputMessage="1" showErrorMessage="1" promptTitle="給与と公的年金以外の所得の合計を入力してください。" prompt="【対象となる所得】_x000a_営業所得、農業所得、不動産所得、配当所得、公的年金以外の雑所得、一時所得、総合課税の長期（短期）譲渡所得の合計を入力します。_x000a_※分離所得に該当する所得は含めません。" sqref="X12:AA17"/>
    <dataValidation allowBlank="1" showDropDown="0" showInputMessage="1" showErrorMessage="1" prompt="軽減判定結果を含めた金額です。" sqref="F30:P30 F32:J32"/>
    <dataValidation allowBlank="1" showDropDown="0" showInputMessage="1" showErrorMessage="1" prompt="課税所得額×税率（7.00％）=所得割額となります。" sqref="F29:J29"/>
    <dataValidation allowBlank="1" showDropDown="0" showInputMessage="1" showErrorMessage="1" prompt="課税所得額×税率（2.30％）=所得割額となります。" sqref="K29:O29"/>
    <dataValidation allowBlank="1" showDropDown="0" showInputMessage="1" showErrorMessage="1" prompt="課税所得額×税率（2.00％）=所得割額となります。" sqref="P29"/>
    <dataValidation allowBlank="1" showDropDown="0" showInputMessage="1" showErrorMessage="1" prompt="未就学児の軽減額を表示しています。" sqref="F31:O31"/>
    <dataValidation allowBlank="1" showDropDown="0" showInputMessage="1" showErrorMessage="1" errorTitle="ドロップダウンリストから選択してください。" error="年齢の区分は、３つに区分されています。ドロップダウンリストから選択してください。" promptTitle="試算したい年度の４月１日時点の年齢を入力してください。" prompt="※注１　３月31日までに６歳を迎えた方は、７歳で入力してください。_x000a_※注２　４月中に65歳を迎える方は65歳で入力してください。_x000a_※注３　４月中に75歳を迎える方は75歳で入力してください。" sqref="J12:K17"/>
    <dataValidation allowBlank="1" showDropDown="0" showInputMessage="0" showErrorMessage="1" prompt="_x000a_" sqref="K32:T32"/>
    <dataValidation allowBlank="1" showDropDown="0" showInputMessage="0" showErrorMessage="1" prompt="未就学児の軽減額を表示しています。" sqref="P31:T31"/>
    <dataValidation allowBlank="1" showDropDown="0" showInputMessage="1" showErrorMessage="0" promptTitle="分離所得（申告不要を選択したもの以外）の合計を入力してください。" prompt="【対象となる所得】_x000a_上場株式等に係る配当所得等、一般株式等に係る譲渡所得等、上場株式等に係る譲渡所得等、土地建物の長期譲渡（短期譲渡）、土地等に係る事業所得等、先物取引に係る雑所得等の合計を入力してください。_x000a_※退職所得は含みません。_x000a_※土地建物に係る特別控除前の金額で入力します。" sqref="AB12:AE17"/>
  </dataValidations>
  <printOptions horizontalCentered="1"/>
  <pageMargins left="0.59055118110236227" right="0.59055118110236227" top="0.27559055118110237" bottom="0.27559055118110237" header="0.31496062992125984" footer="0.31496062992125984"/>
  <pageSetup paperSize="9" fitToWidth="1" fitToHeight="0" orientation="landscape" usePrinterDefaults="1" r:id="rId1"/>
  <rowBreaks count="1" manualBreakCount="1">
    <brk id="33" min="1" max="39" man="1"/>
  </rowBreaks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 errorTitle="ドロップダウンリストで選択してください。" error="「該当」または「非該当」を選択してください。" prompt="雇用保険の_x000a_「特定受給資格者」_x000a_または「特定理由離職者」_x000a_　⇒【該当】_x000a_上記に該当しない_x000a_　⇒【非該当】　">
          <x14:formula1>
            <xm:f>リスト!$C$3:$C$4</xm:f>
          </x14:formula1>
          <xm:sqref>P12:S17</xm:sqref>
        </x14:dataValidation>
        <x14:dataValidation type="list" errorStyle="information" allowBlank="1" showDropDown="0" showInputMessage="1" showErrorMessage="1" error="ドロップダウンリストから選択してください。" promptTitle="国民健康保険の加入状況を入力してください。" prompt="プルダウンリストから「世帯主」または「擬制世帯主」または「加入者」を選択してください。">
          <x14:formula1>
            <xm:f>リスト!$E$3:$E$6</xm:f>
          </x14:formula1>
          <xm:sqref>F12:I13</xm:sqref>
        </x14:dataValidation>
        <x14:dataValidation type="list" errorStyle="information" allowBlank="1" showDropDown="0" showInputMessage="1" showErrorMessage="1" error="ドロップダウンリストから選択してください。" promptTitle="国民健康保険加入者は入力してください。" prompt="プルダウンリストから「加入者」を選択してください。">
          <x14:formula1>
            <xm:f>リスト!$E$3:$E$6</xm:f>
          </x14:formula1>
          <xm:sqref>F14:I17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outlinePr summaryBelow="0"/>
  </sheetPr>
  <dimension ref="A1:J73"/>
  <sheetViews>
    <sheetView zoomScale="70" zoomScaleNormal="70" workbookViewId="0">
      <selection activeCell="M87" sqref="M87"/>
    </sheetView>
  </sheetViews>
  <sheetFormatPr defaultRowHeight="18"/>
  <cols>
    <col min="1" max="1" width="3.19921875" style="138" customWidth="1"/>
    <col min="2" max="3" width="8.796875" style="138" customWidth="1"/>
    <col min="4" max="4" width="10.59765625" style="138" customWidth="1"/>
    <col min="5" max="5" width="2.796875" style="138" bestFit="1" customWidth="1"/>
    <col min="6" max="6" width="8.796875" style="138" customWidth="1"/>
    <col min="7" max="7" width="3.296875" style="138" customWidth="1"/>
    <col min="8" max="16384" width="8.796875" style="138" customWidth="1"/>
  </cols>
  <sheetData>
    <row r="1" spans="1:8" s="139" customFormat="1" ht="18" customHeight="1"/>
    <row r="2" spans="1:8" s="139" customFormat="1" ht="18" customHeight="1"/>
    <row r="3" spans="1:8" s="139" customFormat="1" ht="18" customHeight="1"/>
    <row r="4" spans="1:8" s="139" customFormat="1" ht="18" customHeight="1"/>
    <row r="5" spans="1:8" s="139" customFormat="1" ht="18" customHeight="1">
      <c r="A5" s="141" t="s">
        <v>72</v>
      </c>
      <c r="B5" s="146" t="s">
        <v>51</v>
      </c>
      <c r="C5" s="146"/>
      <c r="D5" s="146"/>
      <c r="E5" s="148"/>
      <c r="F5" s="148"/>
      <c r="G5" s="148"/>
      <c r="H5" s="148"/>
    </row>
    <row r="6" spans="1:8" s="139" customFormat="1" ht="18" customHeight="1" collapsed="1">
      <c r="A6" s="139" t="s">
        <v>149</v>
      </c>
    </row>
    <row r="7" spans="1:8" hidden="1" outlineLevel="1"/>
    <row r="8" spans="1:8" hidden="1" outlineLevel="1"/>
    <row r="9" spans="1:8" hidden="1" outlineLevel="1"/>
    <row r="10" spans="1:8" hidden="1" outlineLevel="1"/>
    <row r="11" spans="1:8" hidden="1" outlineLevel="1"/>
    <row r="12" spans="1:8" hidden="1" outlineLevel="1"/>
    <row r="13" spans="1:8" hidden="1" outlineLevel="1"/>
    <row r="14" spans="1:8" hidden="1" outlineLevel="1"/>
    <row r="15" spans="1:8" hidden="1" outlineLevel="1"/>
    <row r="16" spans="1:8" hidden="1" outlineLevel="1"/>
    <row r="17" spans="1:10" hidden="1" outlineLevel="1"/>
    <row r="18" spans="1:10" hidden="1" outlineLevel="1"/>
    <row r="19" spans="1:10" hidden="1" outlineLevel="1"/>
    <row r="20" spans="1:10" hidden="1" outlineLevel="1"/>
    <row r="21" spans="1:10" hidden="1" outlineLevel="1"/>
    <row r="22" spans="1:10" hidden="1" outlineLevel="1">
      <c r="A22" s="143" t="s">
        <v>22</v>
      </c>
      <c r="B22" s="139" t="s">
        <v>26</v>
      </c>
      <c r="C22" s="139"/>
      <c r="D22" s="139"/>
      <c r="E22" s="143" t="s">
        <v>23</v>
      </c>
      <c r="F22" s="139" t="s">
        <v>61</v>
      </c>
      <c r="G22" s="139"/>
      <c r="H22" s="139"/>
      <c r="I22" s="139"/>
      <c r="J22" s="139"/>
    </row>
    <row r="23" spans="1:10" hidden="1" outlineLevel="1">
      <c r="A23" s="143" t="s">
        <v>62</v>
      </c>
      <c r="B23" s="139" t="s">
        <v>18</v>
      </c>
      <c r="C23" s="139"/>
      <c r="D23" s="139"/>
      <c r="E23" s="143" t="s">
        <v>23</v>
      </c>
      <c r="F23" s="149" t="s">
        <v>52</v>
      </c>
      <c r="G23" s="139"/>
      <c r="H23" s="139"/>
      <c r="I23" s="139"/>
      <c r="J23" s="139"/>
    </row>
    <row r="24" spans="1:10" hidden="1" outlineLevel="1">
      <c r="A24" s="142" t="s">
        <v>63</v>
      </c>
      <c r="B24" s="139" t="s">
        <v>65</v>
      </c>
      <c r="C24" s="139"/>
      <c r="D24" s="139"/>
      <c r="E24" s="139"/>
      <c r="F24" s="139"/>
      <c r="G24" s="139"/>
      <c r="H24" s="139"/>
      <c r="I24" s="139"/>
      <c r="J24" s="139"/>
    </row>
    <row r="25" spans="1:10" hidden="1" outlineLevel="1">
      <c r="A25" s="143"/>
      <c r="B25" s="139" t="s">
        <v>64</v>
      </c>
      <c r="C25" s="139"/>
      <c r="D25" s="139"/>
      <c r="E25" s="139"/>
      <c r="F25" s="150" t="s">
        <v>58</v>
      </c>
      <c r="G25" s="150"/>
      <c r="H25" s="150"/>
      <c r="I25" s="150"/>
      <c r="J25" s="150"/>
    </row>
    <row r="26" spans="1:10" hidden="1" outlineLevel="1">
      <c r="A26" s="142"/>
      <c r="B26" s="139" t="s">
        <v>27</v>
      </c>
      <c r="C26" s="139"/>
      <c r="D26" s="139"/>
      <c r="E26" s="139"/>
      <c r="F26" s="150"/>
      <c r="G26" s="150"/>
      <c r="H26" s="150"/>
      <c r="I26" s="150"/>
      <c r="J26" s="150"/>
    </row>
    <row r="27" spans="1:10" hidden="1" outlineLevel="1">
      <c r="A27" s="142"/>
      <c r="B27" s="139" t="s">
        <v>9</v>
      </c>
      <c r="C27" s="139"/>
      <c r="D27" s="139"/>
      <c r="E27" s="139"/>
      <c r="F27" s="139"/>
      <c r="G27" s="139"/>
      <c r="H27" s="139"/>
      <c r="I27" s="139"/>
      <c r="J27" s="139"/>
    </row>
    <row r="28" spans="1:10">
      <c r="A28" s="142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 s="140" customFormat="1" collapsed="1">
      <c r="A29" s="144" t="s">
        <v>150</v>
      </c>
      <c r="B29" s="145"/>
      <c r="C29" s="145"/>
      <c r="D29" s="145"/>
      <c r="E29" s="145"/>
      <c r="F29" s="150"/>
      <c r="G29" s="150"/>
      <c r="H29" s="150"/>
      <c r="I29" s="150"/>
      <c r="J29" s="150"/>
    </row>
    <row r="30" spans="1:10" hidden="1" outlineLevel="1">
      <c r="H30" s="139"/>
    </row>
    <row r="31" spans="1:10" hidden="1" outlineLevel="1"/>
    <row r="32" spans="1:10" hidden="1" outlineLevel="1"/>
    <row r="33" spans="1:10" hidden="1" outlineLevel="1"/>
    <row r="34" spans="1:10" hidden="1" outlineLevel="1"/>
    <row r="35" spans="1:10" hidden="1" outlineLevel="1"/>
    <row r="36" spans="1:10" hidden="1" outlineLevel="1"/>
    <row r="37" spans="1:10" hidden="1" outlineLevel="1"/>
    <row r="38" spans="1:10" hidden="1" outlineLevel="1"/>
    <row r="39" spans="1:10" hidden="1" outlineLevel="1"/>
    <row r="40" spans="1:10" hidden="1" outlineLevel="1"/>
    <row r="41" spans="1:10" hidden="1" outlineLevel="1"/>
    <row r="42" spans="1:10" hidden="1" outlineLevel="1"/>
    <row r="43" spans="1:10" hidden="1" outlineLevel="1"/>
    <row r="44" spans="1:10" hidden="1" outlineLevel="1"/>
    <row r="45" spans="1:10" hidden="1" outlineLevel="1"/>
    <row r="46" spans="1:10" hidden="1" outlineLevel="1"/>
    <row r="47" spans="1:10" hidden="1" outlineLevel="1">
      <c r="A47" s="143" t="s">
        <v>22</v>
      </c>
      <c r="B47" s="139" t="s">
        <v>16</v>
      </c>
      <c r="C47" s="139"/>
      <c r="D47" s="139"/>
      <c r="E47" s="143" t="s">
        <v>23</v>
      </c>
      <c r="F47" s="139" t="s">
        <v>61</v>
      </c>
      <c r="G47" s="139"/>
      <c r="H47" s="139"/>
      <c r="I47" s="139"/>
      <c r="J47" s="139"/>
    </row>
    <row r="48" spans="1:10" hidden="1" outlineLevel="1">
      <c r="A48" s="143" t="s">
        <v>62</v>
      </c>
      <c r="B48" s="139" t="s">
        <v>55</v>
      </c>
      <c r="C48" s="139"/>
      <c r="D48" s="139"/>
      <c r="E48" s="143" t="s">
        <v>23</v>
      </c>
      <c r="F48" s="149" t="s">
        <v>52</v>
      </c>
      <c r="G48" s="139"/>
      <c r="H48" s="139"/>
      <c r="I48" s="139"/>
      <c r="J48" s="139"/>
    </row>
    <row r="49" spans="1:10" hidden="1" outlineLevel="1">
      <c r="A49" s="142" t="s">
        <v>63</v>
      </c>
      <c r="B49" s="139" t="s">
        <v>67</v>
      </c>
      <c r="C49" s="139"/>
      <c r="D49" s="139"/>
      <c r="E49" s="139"/>
      <c r="F49" s="139"/>
      <c r="G49" s="139"/>
      <c r="H49" s="139"/>
      <c r="I49" s="139"/>
      <c r="J49" s="139"/>
    </row>
    <row r="50" spans="1:10" hidden="1" outlineLevel="1">
      <c r="A50" s="143"/>
      <c r="B50" s="139" t="s">
        <v>64</v>
      </c>
      <c r="C50" s="139"/>
      <c r="D50" s="139"/>
      <c r="E50" s="139"/>
      <c r="F50" s="150" t="s">
        <v>58</v>
      </c>
      <c r="G50" s="150"/>
      <c r="H50" s="150"/>
      <c r="I50" s="150"/>
      <c r="J50" s="150"/>
    </row>
    <row r="51" spans="1:10" hidden="1" outlineLevel="1">
      <c r="A51" s="142"/>
      <c r="B51" s="139" t="s">
        <v>74</v>
      </c>
      <c r="C51" s="139"/>
      <c r="D51" s="139"/>
      <c r="E51" s="139"/>
      <c r="F51" s="150"/>
      <c r="G51" s="150"/>
      <c r="H51" s="150"/>
      <c r="I51" s="150"/>
      <c r="J51" s="150"/>
    </row>
    <row r="52" spans="1:10" hidden="1" outlineLevel="1">
      <c r="A52" s="142"/>
      <c r="B52" s="139" t="s">
        <v>44</v>
      </c>
      <c r="C52" s="139"/>
      <c r="D52" s="139"/>
      <c r="E52" s="139"/>
      <c r="F52" s="139"/>
      <c r="G52" s="139"/>
      <c r="H52" s="139"/>
      <c r="I52" s="139"/>
      <c r="J52" s="139"/>
    </row>
    <row r="53" spans="1:10" s="140" customFormat="1" ht="10.8" customHeight="1">
      <c r="A53" s="145"/>
      <c r="B53" s="145"/>
      <c r="C53" s="145"/>
      <c r="D53" s="145"/>
      <c r="E53" s="145"/>
      <c r="F53" s="151"/>
      <c r="G53" s="151"/>
      <c r="H53" s="151"/>
      <c r="I53" s="151"/>
      <c r="J53" s="151"/>
    </row>
    <row r="54" spans="1:10">
      <c r="A54" s="141" t="s">
        <v>17</v>
      </c>
      <c r="B54" s="147" t="s">
        <v>25</v>
      </c>
      <c r="C54" s="147"/>
      <c r="D54" s="147"/>
      <c r="E54" s="148"/>
      <c r="F54" s="148"/>
      <c r="G54" s="148"/>
      <c r="H54" s="148"/>
      <c r="I54" s="139"/>
      <c r="J54" s="139"/>
    </row>
    <row r="55" spans="1:10" s="140" customFormat="1" collapsed="1">
      <c r="A55" s="144" t="s">
        <v>75</v>
      </c>
      <c r="B55" s="145"/>
      <c r="C55" s="145"/>
      <c r="D55" s="145"/>
      <c r="E55" s="145"/>
      <c r="F55" s="150"/>
      <c r="G55" s="150"/>
      <c r="H55" s="150"/>
      <c r="I55" s="150"/>
      <c r="J55" s="150"/>
    </row>
    <row r="56" spans="1:10" hidden="1" outlineLevel="1"/>
    <row r="57" spans="1:10" hidden="1" outlineLevel="1"/>
    <row r="58" spans="1:10" hidden="1" outlineLevel="1"/>
    <row r="59" spans="1:10" hidden="1" outlineLevel="1"/>
    <row r="60" spans="1:10" hidden="1" outlineLevel="1"/>
    <row r="61" spans="1:10" hidden="1" outlineLevel="1"/>
    <row r="62" spans="1:10" hidden="1" outlineLevel="1"/>
    <row r="63" spans="1:10" hidden="1" outlineLevel="1">
      <c r="A63" s="143" t="s">
        <v>22</v>
      </c>
      <c r="B63" s="139" t="s">
        <v>48</v>
      </c>
      <c r="C63" s="139"/>
      <c r="D63" s="139"/>
      <c r="E63" s="143" t="s">
        <v>23</v>
      </c>
      <c r="F63" s="139" t="s">
        <v>61</v>
      </c>
      <c r="G63" s="139"/>
      <c r="H63" s="139"/>
    </row>
    <row r="64" spans="1:10" s="140" customFormat="1" ht="10.8" customHeight="1">
      <c r="A64" s="145"/>
      <c r="B64" s="145"/>
      <c r="C64" s="145"/>
      <c r="D64" s="145"/>
      <c r="E64" s="145"/>
      <c r="F64" s="151"/>
      <c r="G64" s="151"/>
      <c r="H64" s="151"/>
      <c r="I64" s="151"/>
      <c r="J64" s="151"/>
    </row>
    <row r="65" spans="1:10">
      <c r="A65" s="141" t="s">
        <v>73</v>
      </c>
      <c r="B65" s="148" t="s">
        <v>151</v>
      </c>
      <c r="C65" s="148"/>
      <c r="D65" s="148"/>
      <c r="E65" s="141"/>
      <c r="F65" s="148"/>
      <c r="G65" s="148"/>
      <c r="H65" s="148"/>
    </row>
    <row r="66" spans="1:10" s="140" customFormat="1" collapsed="1">
      <c r="A66" s="144" t="s">
        <v>56</v>
      </c>
      <c r="B66" s="145"/>
      <c r="C66" s="145"/>
      <c r="D66" s="145"/>
      <c r="E66" s="145"/>
      <c r="F66" s="150"/>
      <c r="G66" s="150"/>
      <c r="H66" s="150"/>
      <c r="I66" s="150"/>
      <c r="J66" s="150"/>
    </row>
    <row r="67" spans="1:10" hidden="1" outlineLevel="1"/>
    <row r="68" spans="1:10" hidden="1" outlineLevel="1"/>
    <row r="69" spans="1:10" hidden="1" outlineLevel="1"/>
    <row r="70" spans="1:10" hidden="1" outlineLevel="1"/>
    <row r="71" spans="1:10" hidden="1" outlineLevel="1"/>
    <row r="72" spans="1:10" hidden="1" outlineLevel="1"/>
    <row r="73" spans="1:10" hidden="1" outlineLevel="1">
      <c r="A73" s="143" t="s">
        <v>22</v>
      </c>
      <c r="B73" s="139" t="s">
        <v>0</v>
      </c>
      <c r="C73" s="139"/>
      <c r="D73" s="139"/>
      <c r="E73" s="143" t="s">
        <v>23</v>
      </c>
      <c r="F73" s="149" t="s">
        <v>52</v>
      </c>
      <c r="G73" s="139"/>
      <c r="H73" s="139"/>
      <c r="I73" s="139"/>
      <c r="J73" s="139"/>
    </row>
  </sheetData>
  <dataConsolidate>
    <dataRefs count="1">
      <dataRef ref="A2" sheet="各種資料の確認箇所"/>
    </dataRefs>
  </dataConsolidate>
  <mergeCells count="5">
    <mergeCell ref="B5:D5"/>
    <mergeCell ref="A24:A27"/>
    <mergeCell ref="F25:J26"/>
    <mergeCell ref="A49:A52"/>
    <mergeCell ref="F50:J51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S19"/>
  <sheetViews>
    <sheetView topLeftCell="C1" zoomScale="70" zoomScaleNormal="70" workbookViewId="0">
      <selection activeCell="S30" sqref="S30"/>
    </sheetView>
  </sheetViews>
  <sheetFormatPr defaultColWidth="12.5" defaultRowHeight="13.2"/>
  <cols>
    <col min="1" max="14" width="12.5" style="152"/>
    <col min="15" max="15" width="7.296875" style="152" customWidth="1"/>
    <col min="16" max="16" width="12.8984375" style="152" customWidth="1"/>
    <col min="17" max="17" width="6.59765625" style="152" customWidth="1"/>
    <col min="18" max="18" width="17" style="152" bestFit="1" customWidth="1"/>
    <col min="19" max="16384" width="12.5" style="152"/>
  </cols>
  <sheetData>
    <row r="1" spans="1:19" s="153" customFormat="1" ht="37.200000000000003" customHeight="1">
      <c r="A1" s="154" t="s">
        <v>13</v>
      </c>
      <c r="B1" s="159" t="s">
        <v>30</v>
      </c>
      <c r="C1" s="162" t="s">
        <v>5</v>
      </c>
      <c r="D1" s="165" t="s">
        <v>11</v>
      </c>
      <c r="E1" s="168" t="s">
        <v>126</v>
      </c>
      <c r="F1" s="173" t="s">
        <v>125</v>
      </c>
      <c r="G1" s="168" t="s">
        <v>124</v>
      </c>
      <c r="H1" s="168" t="s">
        <v>69</v>
      </c>
      <c r="I1" s="168" t="s">
        <v>53</v>
      </c>
      <c r="J1" s="157" t="s">
        <v>20</v>
      </c>
      <c r="K1" s="157" t="str">
        <f>国保税試算表!AB11</f>
        <v>分離所得</v>
      </c>
      <c r="L1" s="157" t="s">
        <v>116</v>
      </c>
      <c r="M1" s="186" t="s">
        <v>54</v>
      </c>
      <c r="N1" s="188" t="s">
        <v>117</v>
      </c>
      <c r="O1" s="192" t="s">
        <v>127</v>
      </c>
      <c r="P1" s="195" t="s">
        <v>66</v>
      </c>
      <c r="R1" s="196" t="s">
        <v>118</v>
      </c>
      <c r="S1" s="199" t="s">
        <v>114</v>
      </c>
    </row>
    <row r="2" spans="1:19">
      <c r="A2" s="155" t="str">
        <f>_xlfn.IFS(国保税試算表!$B12&lt;&gt;"",国保税試算表!$B12,国保税試算表!$B12="","")</f>
        <v>A</v>
      </c>
      <c r="B2" s="160" t="str">
        <f>_xlfn.IFS(A2&lt;&gt;"",国保税試算表!$F12,A2="","")</f>
        <v>世帯主</v>
      </c>
      <c r="C2" s="163">
        <f>_xlfn.IFS(A2&lt;&gt;"",国保税試算表!$J12,A2="","")</f>
        <v>0</v>
      </c>
      <c r="D2" s="166">
        <f>_xlfn.IFS(A2&lt;&gt;"",国保税試算表!$L12,A2="","")</f>
        <v>0</v>
      </c>
      <c r="E2" s="160">
        <f>_xlfn.IFS(国保税試算表!$P12="非該当",0,国保税試算表!$P12="該当",1,国保税試算表!$P12="","")</f>
        <v>0</v>
      </c>
      <c r="F2" s="167">
        <f>IFERROR(_xlfn.IFS(D2&lt;=マスタ管理!$B$49,0,AND(D2&gt;=マスタ管理!$A$50,D2&lt;=マスタ管理!$B$50),D2+マスタ管理!$D$50,AND(D2&gt;マスタ管理!$A$51,D2&lt;=マスタ管理!$B$51),マスタ管理!$D$51,AND(D2&gt;=マスタ管理!$A$52,D2&lt;=マスタ管理!$B$52),マスタ管理!$D$52,AND(D2&gt;=マスタ管理!$A$53,D2&lt;=マスタ管理!$B$53),マスタ管理!$D$53,AND(D2&gt;=マスタ管理!$A$54,D2&lt;=マスタ管理!$B$54),マスタ管理!$D$54,AND(D2&gt;=マスタ管理!$A$55,D2&lt;=マスタ管理!$B$55),ROUNDDOWN(D2/4,-3)*マスタ管理!$C$55+マスタ管理!$D$55,AND(D2&gt;=マスタ管理!$A$56,D2&lt;=マスタ管理!$B$56),ROUNDDOWN(D2/4,-3)*マスタ管理!$C$56+マスタ管理!$D$56,AND(D2&gt;=マスタ管理!$A$57,D2&lt;=マスタ管理!$B$57),ROUNDDOWN(D2/4,-3)*マスタ管理!$C$57+マスタ管理!$D$57,AND(D2&gt;=マスタ管理!$A$58,D2&lt;=マスタ管理!$B$58),D2*マスタ管理!$C$58+マスタ管理!D58,D2&gt;=マスタ管理!$A$59,D2-マスタ管理!$D$59),"")</f>
        <v>0</v>
      </c>
      <c r="G2" s="179">
        <f>IFERROR(_xlfn.IFS(D2&lt;=マスタ管理!$B$49,0,AND(D2&gt;=マスタ管理!$A$50,D2&lt;=マスタ管理!$B$50),D2+マスタ管理!$D$50,AND(D2&gt;マスタ管理!$A$51,D2&lt;=マスタ管理!$B$51),マスタ管理!$D$51,AND(D2&gt;=マスタ管理!$A$52,D2&lt;=マスタ管理!$B$52),マスタ管理!$D$52,AND(D2&gt;=マスタ管理!$A$53,D2&lt;=マスタ管理!$B$53),マスタ管理!$D$53,AND(D2&gt;=マスタ管理!$A$54,D2&lt;=マスタ管理!$B$54),マスタ管理!$D$54,AND(D2&gt;=マスタ管理!$A$55,D2&lt;=マスタ管理!$B$55),ROUNDDOWN(D2/4,-3)*マスタ管理!$C$55+マスタ管理!$D$55,AND(D2&gt;=マスタ管理!$A$56,D2&lt;=マスタ管理!$B$56),ROUNDDOWN(D2/4,-3)*マスタ管理!$C$56+マスタ管理!$D$56,AND(D2&gt;=マスタ管理!$A$57,D2&lt;=マスタ管理!$B$57),ROUNDDOWN(D2/4,-3)*マスタ管理!$C$57+マスタ管理!$D$57,AND(D2&gt;=マスタ管理!$A$58,D2&lt;=マスタ管理!$B$58),D2*マスタ管理!$C$58+マスタ管理!D58,D2&gt;=マスタ管理!$A$59,D2-マスタ管理!D59)*30%,"")</f>
        <v>0</v>
      </c>
      <c r="H2" s="179">
        <f t="shared" ref="H2:H7" si="0">IFERROR(_xlfn.IFS(E2=0,F2,E2=1,G2),"")</f>
        <v>0</v>
      </c>
      <c r="I2" s="179">
        <f t="shared" ref="I2:I7" si="1">IFERROR(_xlfn.IFS(AND(H2&gt;=100000,F14&gt;=100000),H2-100000,AND(H2&lt;=99999,F14&gt;=100000),0,AND(H2&gt;=100000,F14&lt;=99999),H2-F14,AND(H2&lt;=99999,F14&lt;=99999,(H2+F14)&gt;=100000),H2-(H2+F14-100000),(H2+F14)=0,0),"")</f>
        <v>0</v>
      </c>
      <c r="J2" s="179">
        <f>_xlfn.IFS(A2&lt;&gt;"",国保税試算表!X12,A2="","")</f>
        <v>0</v>
      </c>
      <c r="K2" s="184">
        <f>_xlfn.IFS(A2&lt;&gt;"",国保税試算表!AB12,A2="","")</f>
        <v>0</v>
      </c>
      <c r="L2" s="179">
        <f t="shared" ref="L2:L7" si="2">IF(AND(I2="",J2="",F14="",K2=""),"",SUM(I2:K2,F14))</f>
        <v>0</v>
      </c>
      <c r="M2" s="167">
        <f t="shared" ref="M2:M7" si="3">IFERROR(_xlfn.IFS(AND(O2=1,(L2-430000)&gt;=0),(L2-430000),(L2-430000)&lt;0,0,O2="",0),"")</f>
        <v>0</v>
      </c>
      <c r="N2" s="189">
        <f t="shared" ref="N2:N7" si="4">IFERROR(_xlfn.IFS(AND(C2&gt;=65,F14&gt;=150000),F14-150000,AND(C2&gt;=65,F14&lt;150000),0,C2&lt;=64,F14)+J2+H2,"")</f>
        <v>0</v>
      </c>
      <c r="O2" s="179">
        <f t="shared" ref="O2:O7" si="5">IFERROR(_xlfn.IFS(B2="世帯主",1,B2="加入者",1,B2="擬制世帯",0),"")</f>
        <v>1</v>
      </c>
      <c r="P2" s="163">
        <f t="shared" ref="P2:P7" si="6">IFERROR(_xlfn.IFS(AND(C2&lt;=64,OR(D2&gt;550000,D14&gt;600000)),1,AND(C2&lt;=75,C2&gt;=65,OR(D2&gt;550000,D14&gt;1100000)),1,AND(C2&lt;=64,OR(D2&lt;=550000,D14&lt;=600000)),0,AND(C2&lt;=75,C2&gt;=65,OR(D2&lt;=550000,D14&lt;=1100000)),0),"")</f>
        <v>0</v>
      </c>
      <c r="R2" s="197" t="s">
        <v>119</v>
      </c>
      <c r="S2" s="200">
        <f>SUM(N2:N7)</f>
        <v>0</v>
      </c>
    </row>
    <row r="3" spans="1:19">
      <c r="A3" s="155" t="str">
        <f>_xlfn.IFS(国保税試算表!$B13&lt;&gt;"",国保税試算表!$B13,国保税試算表!$B13="","")</f>
        <v/>
      </c>
      <c r="B3" s="160" t="str">
        <f>_xlfn.IFS(A3&lt;&gt;"",国保税試算表!$F13,A3="","")</f>
        <v/>
      </c>
      <c r="C3" s="163" t="str">
        <f>_xlfn.IFS(A3&lt;&gt;"",国保税試算表!$J13,A3="","")</f>
        <v/>
      </c>
      <c r="D3" s="166" t="str">
        <f>_xlfn.IFS(A3&lt;&gt;"",国保税試算表!$L13,A3="","")</f>
        <v/>
      </c>
      <c r="E3" s="160" t="str">
        <f>_xlfn.IFS(国保税試算表!$P13="非該当",0,国保税試算表!$P13="該当",1,国保税試算表!$P13="","")</f>
        <v/>
      </c>
      <c r="F3" s="167" t="str">
        <f>IFERROR(_xlfn.IFS(D3&lt;=マスタ管理!$B$49,0,AND(D3&gt;=マスタ管理!$A$50,D3&lt;=マスタ管理!$B$50),D3+マスタ管理!$D$50,AND(D3&gt;マスタ管理!$A$51,D3&lt;=マスタ管理!$B$51),マスタ管理!$D$51,AND(D3&gt;=マスタ管理!$A$52,D3&lt;=マスタ管理!$B$52),マスタ管理!$D$52,AND(D3&gt;=マスタ管理!$A$53,D3&lt;=マスタ管理!$B$53),マスタ管理!$D$53,AND(D3&gt;=マスタ管理!$A$54,D3&lt;=マスタ管理!$B$54),マスタ管理!$D$54,AND(D3&gt;=マスタ管理!$A$55,D3&lt;=マスタ管理!$B$55),ROUNDDOWN(D3/4,-3)*マスタ管理!$C$55+マスタ管理!$D$55,AND(D3&gt;=マスタ管理!$A$56,D3&lt;=マスタ管理!$B$56),ROUNDDOWN(D3/4,-3)*マスタ管理!$C$56+マスタ管理!$D$56,AND(D3&gt;=マスタ管理!$A$57,D3&lt;=マスタ管理!$B$57),ROUNDDOWN(D3/4,-3)*マスタ管理!$C$57+マスタ管理!$D$57,AND(D3&gt;=マスタ管理!$A$58,D3&lt;=マスタ管理!$B$58),D3*マスタ管理!$C$58+マスタ管理!D59,D3&gt;=マスタ管理!$A$59,D3-マスタ管理!$D$59),"")</f>
        <v/>
      </c>
      <c r="G3" s="179" t="str">
        <f>IFERROR(_xlfn.IFS(D3&lt;=マスタ管理!$B$49,0,AND(D3&gt;=マスタ管理!$A$50,D3&lt;=マスタ管理!$B$50),D3+マスタ管理!$D$50,AND(D3&gt;マスタ管理!$A$51,D3&lt;=マスタ管理!$B$51),マスタ管理!$D$51,AND(D3&gt;=マスタ管理!$A$52,D3&lt;=マスタ管理!$B$52),マスタ管理!$D$52,AND(D3&gt;=マスタ管理!$A$53,D3&lt;=マスタ管理!$B$53),マスタ管理!$D$53,AND(D3&gt;=マスタ管理!$A$54,D3&lt;=マスタ管理!$B$54),マスタ管理!$D$54,AND(D3&gt;=マスタ管理!$A$55,D3&lt;=マスタ管理!$B$55),ROUNDDOWN(D3/4,-3)*マスタ管理!$C$55+マスタ管理!$D$55,AND(D3&gt;=マスタ管理!$A$56,D3&lt;=マスタ管理!$B$56),ROUNDDOWN(D3/4,-3)*マスタ管理!$C$56+マスタ管理!$D$56,AND(D3&gt;=マスタ管理!$A$57,D3&lt;=マスタ管理!$B$57),ROUNDDOWN(D3/4,-3)*マスタ管理!$C$57+マスタ管理!$D$57,AND(D3&gt;=マスタ管理!$A$58,D3&lt;=マスタ管理!$B$58),D3*マスタ管理!$C$58+マスタ管理!D58,D3&gt;=マスタ管理!$A$59,D3-マスタ管理!D64)*30%,"")</f>
        <v/>
      </c>
      <c r="H3" s="179" t="str">
        <f t="shared" si="0"/>
        <v/>
      </c>
      <c r="I3" s="179" t="str">
        <f t="shared" si="1"/>
        <v/>
      </c>
      <c r="J3" s="179" t="str">
        <f>_xlfn.IFS(A3&lt;&gt;"",国保税試算表!X13,A3="","")</f>
        <v/>
      </c>
      <c r="K3" s="184" t="str">
        <f>_xlfn.IFS(A3&lt;&gt;"",国保税試算表!AB13,A3="","")</f>
        <v/>
      </c>
      <c r="L3" s="179" t="str">
        <f t="shared" si="2"/>
        <v/>
      </c>
      <c r="M3" s="167" t="str">
        <f t="shared" si="3"/>
        <v/>
      </c>
      <c r="N3" s="189" t="str">
        <f t="shared" si="4"/>
        <v/>
      </c>
      <c r="O3" s="179" t="str">
        <f t="shared" si="5"/>
        <v/>
      </c>
      <c r="P3" s="163" t="str">
        <f t="shared" si="6"/>
        <v/>
      </c>
      <c r="R3" s="197" t="s">
        <v>71</v>
      </c>
      <c r="S3" s="163">
        <f>SUM($P$2:$P$7)</f>
        <v>0</v>
      </c>
    </row>
    <row r="4" spans="1:19">
      <c r="A4" s="155" t="str">
        <f>_xlfn.IFS(国保税試算表!$B14&lt;&gt;"",国保税試算表!$B14,国保税試算表!$B14="","")</f>
        <v/>
      </c>
      <c r="B4" s="160" t="str">
        <f>_xlfn.IFS(A4&lt;&gt;"",国保税試算表!$F14,A4="","")</f>
        <v/>
      </c>
      <c r="C4" s="163" t="str">
        <f>_xlfn.IFS(A4&lt;&gt;"",国保税試算表!$J14,A4="","")</f>
        <v/>
      </c>
      <c r="D4" s="166" t="str">
        <f>_xlfn.IFS(A4&lt;&gt;"",国保税試算表!$L14,A4="","")</f>
        <v/>
      </c>
      <c r="E4" s="160" t="str">
        <f>_xlfn.IFS(国保税試算表!$P14="非該当",0,国保税試算表!$P14="該当",1,国保税試算表!$P14="","")</f>
        <v/>
      </c>
      <c r="F4" s="167" t="str">
        <f>IFERROR(_xlfn.IFS(D4&lt;=マスタ管理!$B$49,0,AND(D4&gt;=マスタ管理!$A$50,D4&lt;=マスタ管理!$B$50),D4+マスタ管理!$D$50,AND(D4&gt;マスタ管理!$A$51,D4&lt;=マスタ管理!$B$51),マスタ管理!$D$51,AND(D4&gt;=マスタ管理!$A$52,D4&lt;=マスタ管理!$B$52),マスタ管理!$D$52,AND(D4&gt;=マスタ管理!$A$53,D4&lt;=マスタ管理!$B$53),マスタ管理!$D$53,AND(D4&gt;=マスタ管理!$A$54,D4&lt;=マスタ管理!$B$54),マスタ管理!$D$54,AND(D4&gt;=マスタ管理!$A$55,D4&lt;=マスタ管理!$B$55),ROUNDDOWN(D4/4,-3)*マスタ管理!$C$55+マスタ管理!$D$55,AND(D4&gt;=マスタ管理!$A$56,D4&lt;=マスタ管理!$B$56),ROUNDDOWN(D4/4,-3)*マスタ管理!$C$56+マスタ管理!$D$56,AND(D4&gt;=マスタ管理!$A$57,D4&lt;=マスタ管理!$B$57),ROUNDDOWN(D4/4,-3)*マスタ管理!$C$57+マスタ管理!$D$57,AND(D4&gt;=マスタ管理!$A$58,D4&lt;=マスタ管理!$B$58),D4*マスタ管理!$C$58+マスタ管理!D60,D4&gt;=マスタ管理!$A$59,D4-マスタ管理!$D$59),"")</f>
        <v/>
      </c>
      <c r="G4" s="179" t="str">
        <f>IFERROR(_xlfn.IFS(D4&lt;=マスタ管理!$B$49,0,AND(D4&gt;=マスタ管理!$A$50,D4&lt;=マスタ管理!$B$50),D4+マスタ管理!$D$50,AND(D4&gt;マスタ管理!$A$51,D4&lt;=マスタ管理!$B$51),マスタ管理!$D$51,AND(D4&gt;=マスタ管理!$A$52,D4&lt;=マスタ管理!$B$52),マスタ管理!$D$52,AND(D4&gt;=マスタ管理!$A$53,D4&lt;=マスタ管理!$B$53),マスタ管理!$D$53,AND(D4&gt;=マスタ管理!$A$54,D4&lt;=マスタ管理!$B$54),マスタ管理!$D$54,AND(D4&gt;=マスタ管理!$A$55,D4&lt;=マスタ管理!$B$55),ROUNDDOWN(D4/4,-3)*マスタ管理!$C$55+マスタ管理!$D$55,AND(D4&gt;=マスタ管理!$A$56,D4&lt;=マスタ管理!$B$56),ROUNDDOWN(D4/4,-3)*マスタ管理!$C$56+マスタ管理!$D$56,AND(D4&gt;=マスタ管理!$A$57,D4&lt;=マスタ管理!$B$57),ROUNDDOWN(D4/4,-3)*マスタ管理!$C$57+マスタ管理!$D$57,AND(D4&gt;=マスタ管理!$A$58,D4&lt;=マスタ管理!$B$58),D4*マスタ管理!$C$58+#REF!,D4&gt;=マスタ管理!$A$59,D4-マスタ管理!D65)*30%,"")</f>
        <v/>
      </c>
      <c r="H4" s="179" t="str">
        <f t="shared" si="0"/>
        <v/>
      </c>
      <c r="I4" s="179" t="str">
        <f t="shared" si="1"/>
        <v/>
      </c>
      <c r="J4" s="179" t="str">
        <f>_xlfn.IFS(A4&lt;&gt;"",国保税試算表!X14,A4="","")</f>
        <v/>
      </c>
      <c r="K4" s="184" t="str">
        <f>_xlfn.IFS(A4&lt;&gt;"",国保税試算表!AB14,A4="","")</f>
        <v/>
      </c>
      <c r="L4" s="179" t="str">
        <f t="shared" si="2"/>
        <v/>
      </c>
      <c r="M4" s="167" t="str">
        <f t="shared" si="3"/>
        <v/>
      </c>
      <c r="N4" s="189" t="str">
        <f t="shared" si="4"/>
        <v/>
      </c>
      <c r="O4" s="179" t="str">
        <f t="shared" si="5"/>
        <v/>
      </c>
      <c r="P4" s="163" t="str">
        <f t="shared" si="6"/>
        <v/>
      </c>
      <c r="R4" s="197" t="s">
        <v>121</v>
      </c>
      <c r="S4" s="200">
        <f>SUM(O2:O7)</f>
        <v>1</v>
      </c>
    </row>
    <row r="5" spans="1:19">
      <c r="A5" s="155" t="str">
        <f>_xlfn.IFS(国保税試算表!$B15&lt;&gt;"",国保税試算表!$B15,国保税試算表!$B15="","")</f>
        <v/>
      </c>
      <c r="B5" s="160" t="str">
        <f>_xlfn.IFS(A5&lt;&gt;"",国保税試算表!$F15,A5="","")</f>
        <v/>
      </c>
      <c r="C5" s="163" t="str">
        <f>_xlfn.IFS(A5&lt;&gt;"",国保税試算表!$J15,A5="","")</f>
        <v/>
      </c>
      <c r="D5" s="166" t="str">
        <f>_xlfn.IFS(A5&lt;&gt;"",国保税試算表!$L15,A5="","")</f>
        <v/>
      </c>
      <c r="E5" s="160" t="str">
        <f>_xlfn.IFS(国保税試算表!$P15="非該当",0,国保税試算表!$P15="該当",1,国保税試算表!$P15="","")</f>
        <v/>
      </c>
      <c r="F5" s="167" t="str">
        <f>IFERROR(_xlfn.IFS(D5&lt;=マスタ管理!$B$49,0,AND(D5&gt;=マスタ管理!$A$50,D5&lt;=マスタ管理!$B$50),D5+マスタ管理!$D$50,AND(D5&gt;マスタ管理!$A$51,D5&lt;=マスタ管理!$B$51),マスタ管理!$D$51,AND(D5&gt;=マスタ管理!$A$52,D5&lt;=マスタ管理!$B$52),マスタ管理!$D$52,AND(D5&gt;=マスタ管理!$A$53,D5&lt;=マスタ管理!$B$53),マスタ管理!$D$53,AND(D5&gt;=マスタ管理!$A$54,D5&lt;=マスタ管理!$B$54),マスタ管理!$D$54,AND(D5&gt;=マスタ管理!$A$55,D5&lt;=マスタ管理!$B$55),ROUNDDOWN(D5/4,-3)*マスタ管理!$C$55+マスタ管理!$D$55,AND(D5&gt;=マスタ管理!$A$56,D5&lt;=マスタ管理!$B$56),ROUNDDOWN(D5/4,-3)*マスタ管理!$C$56+マスタ管理!$D$56,AND(D5&gt;=マスタ管理!$A$57,D5&lt;=マスタ管理!$B$57),ROUNDDOWN(D5/4,-3)*マスタ管理!$C$57+マスタ管理!$D$57,AND(D5&gt;=マスタ管理!$A$58,D5&lt;=マスタ管理!$B$58),D5*マスタ管理!$C$58+マスタ管理!D61,D5&gt;=マスタ管理!$A$59,D5-マスタ管理!$D$59),"")</f>
        <v/>
      </c>
      <c r="G5" s="179" t="str">
        <f>IFERROR(_xlfn.IFS(D5&lt;=マスタ管理!$B$49,0,AND(D5&gt;=マスタ管理!$A$50,D5&lt;=マスタ管理!$B$50),D5+マスタ管理!$D$50,AND(D5&gt;マスタ管理!$A$51,D5&lt;=マスタ管理!$B$51),マスタ管理!$D$51,AND(D5&gt;=マスタ管理!$A$52,D5&lt;=マスタ管理!$B$52),マスタ管理!$D$52,AND(D5&gt;=マスタ管理!$A$53,D5&lt;=マスタ管理!$B$53),マスタ管理!$D$53,AND(D5&gt;=マスタ管理!$A$54,D5&lt;=マスタ管理!$B$54),マスタ管理!$D$54,AND(D5&gt;=マスタ管理!$A$55,D5&lt;=マスタ管理!$B$55),ROUNDDOWN(D5/4,-3)*マスタ管理!$C$55+マスタ管理!$D$55,AND(D5&gt;=マスタ管理!$A$56,D5&lt;=マスタ管理!$B$56),ROUNDDOWN(D5/4,-3)*マスタ管理!$C$56+マスタ管理!$D$56,AND(D5&gt;=マスタ管理!$A$57,D5&lt;=マスタ管理!$B$57),ROUNDDOWN(D5/4,-3)*マスタ管理!$C$57+マスタ管理!$D$57,AND(D5&gt;=マスタ管理!$A$58,D5&lt;=マスタ管理!$B$58),D5*マスタ管理!$C$58+マスタ管理!D65,D5&gt;=マスタ管理!$A$59,D5-マスタ管理!D66)*30%,"")</f>
        <v/>
      </c>
      <c r="H5" s="179" t="str">
        <f t="shared" si="0"/>
        <v/>
      </c>
      <c r="I5" s="179" t="str">
        <f t="shared" si="1"/>
        <v/>
      </c>
      <c r="J5" s="179" t="str">
        <f>_xlfn.IFS(A5&lt;&gt;"",国保税試算表!X15,A5="","")</f>
        <v/>
      </c>
      <c r="K5" s="184" t="str">
        <f>_xlfn.IFS(A5&lt;&gt;"",国保税試算表!AB15,A5="","")</f>
        <v/>
      </c>
      <c r="L5" s="179" t="str">
        <f t="shared" si="2"/>
        <v/>
      </c>
      <c r="M5" s="167" t="str">
        <f t="shared" si="3"/>
        <v/>
      </c>
      <c r="N5" s="189" t="str">
        <f t="shared" si="4"/>
        <v/>
      </c>
      <c r="O5" s="179" t="str">
        <f t="shared" si="5"/>
        <v/>
      </c>
      <c r="P5" s="163" t="str">
        <f t="shared" si="6"/>
        <v/>
      </c>
      <c r="Q5" s="152" t="str">
        <f>IFERROR(_xlfn.IFS(AND(C5&lt;=64,OR(D5&gt;550000,D17&gt;600000)),1,AND(C5&lt;=64,OR(D5&gt;550000,D17&gt;1100000)),1),"")</f>
        <v/>
      </c>
      <c r="R5" s="197" t="s">
        <v>120</v>
      </c>
      <c r="S5" s="163">
        <f>国保税試算表!$C$20</f>
        <v>0</v>
      </c>
    </row>
    <row r="6" spans="1:19" ht="13.95">
      <c r="A6" s="155" t="str">
        <f>_xlfn.IFS(国保税試算表!$B16&lt;&gt;"",国保税試算表!$B16,国保税試算表!$B16="","")</f>
        <v/>
      </c>
      <c r="B6" s="160" t="str">
        <f>_xlfn.IFS(A6&lt;&gt;"",国保税試算表!$F16,A6="","")</f>
        <v/>
      </c>
      <c r="C6" s="163" t="str">
        <f>_xlfn.IFS(A6&lt;&gt;"",国保税試算表!$J16,A6="","")</f>
        <v/>
      </c>
      <c r="D6" s="166" t="str">
        <f>_xlfn.IFS(A6&lt;&gt;"",国保税試算表!$L16,A6="","")</f>
        <v/>
      </c>
      <c r="E6" s="160" t="str">
        <f>_xlfn.IFS(国保税試算表!$P16="非該当",0,国保税試算表!$P16="該当",1,国保税試算表!$P16="","")</f>
        <v/>
      </c>
      <c r="F6" s="167" t="str">
        <f>IFERROR(_xlfn.IFS(D6&lt;=マスタ管理!$B$49,0,AND(D6&gt;=マスタ管理!$A$50,D6&lt;=マスタ管理!$B$50),D6+マスタ管理!$D$50,AND(D6&gt;マスタ管理!$A$51,D6&lt;=マスタ管理!$B$51),マスタ管理!$D$51,AND(D6&gt;=マスタ管理!$A$52,D6&lt;=マスタ管理!$B$52),マスタ管理!$D$52,AND(D6&gt;=マスタ管理!$A$53,D6&lt;=マスタ管理!$B$53),マスタ管理!$D$53,AND(D6&gt;=マスタ管理!$A$54,D6&lt;=マスタ管理!$B$54),マスタ管理!$D$54,AND(D6&gt;=マスタ管理!$A$55,D6&lt;=マスタ管理!$B$55),ROUNDDOWN(D6/4,-3)*マスタ管理!$C$55+マスタ管理!$D$55,AND(D6&gt;=マスタ管理!$A$56,D6&lt;=マスタ管理!$B$56),ROUNDDOWN(D6/4,-3)*マスタ管理!$C$56+マスタ管理!$D$56,AND(D6&gt;=マスタ管理!$A$57,D6&lt;=マスタ管理!$B$57),ROUNDDOWN(D6/4,-3)*マスタ管理!$C$57+マスタ管理!$D$57,AND(D6&gt;=マスタ管理!$A$58,D6&lt;=マスタ管理!$B$58),D6*マスタ管理!$C$58+マスタ管理!D62,D6&gt;=マスタ管理!$A$59,D6-マスタ管理!$D$59),"")</f>
        <v/>
      </c>
      <c r="G6" s="179" t="str">
        <f>IFERROR(_xlfn.IFS(D6&lt;=マスタ管理!$B$49,0,AND(D6&gt;=マスタ管理!$A$50,D6&lt;=マスタ管理!$B$50),D6+マスタ管理!$D$50,AND(D6&gt;マスタ管理!$A$51,D6&lt;=マスタ管理!$B$51),マスタ管理!$D$51,AND(D6&gt;=マスタ管理!$A$52,D6&lt;=マスタ管理!$B$52),マスタ管理!$D$52,AND(D6&gt;=マスタ管理!$A$53,D6&lt;=マスタ管理!$B$53),マスタ管理!$D$53,AND(D6&gt;=マスタ管理!$A$54,D6&lt;=マスタ管理!$B$54),マスタ管理!$D$54,AND(D6&gt;=マスタ管理!$A$55,D6&lt;=マスタ管理!$B$55),ROUNDDOWN(D6/4,-3)*マスタ管理!$C$55+マスタ管理!$D$55,AND(D6&gt;=マスタ管理!$A$56,D6&lt;=マスタ管理!$B$56),ROUNDDOWN(D6/4,-3)*マスタ管理!$C$56+マスタ管理!$D$56,AND(D6&gt;=マスタ管理!$A$57,D6&lt;=マスタ管理!$B$57),ROUNDDOWN(D6/4,-3)*マスタ管理!$C$57+マスタ管理!$D$57,AND(D6&gt;=マスタ管理!$A$58,D6&lt;=マスタ管理!$B$58),D6*マスタ管理!$C$58+マスタ管理!D66,D6&gt;=マスタ管理!$A$59,D6-マスタ管理!D68)*30%,"")</f>
        <v/>
      </c>
      <c r="H6" s="179" t="str">
        <f t="shared" si="0"/>
        <v/>
      </c>
      <c r="I6" s="179" t="str">
        <f t="shared" si="1"/>
        <v/>
      </c>
      <c r="J6" s="179" t="str">
        <f>_xlfn.IFS(A6&lt;&gt;"",国保税試算表!X16,A6="","")</f>
        <v/>
      </c>
      <c r="K6" s="184" t="str">
        <f>_xlfn.IFS(A6&lt;&gt;"",国保税試算表!AB16,A6="","")</f>
        <v/>
      </c>
      <c r="L6" s="179" t="str">
        <f t="shared" si="2"/>
        <v/>
      </c>
      <c r="M6" s="167" t="str">
        <f t="shared" si="3"/>
        <v/>
      </c>
      <c r="N6" s="189" t="str">
        <f t="shared" si="4"/>
        <v/>
      </c>
      <c r="O6" s="179" t="str">
        <f t="shared" si="5"/>
        <v/>
      </c>
      <c r="P6" s="163" t="str">
        <f t="shared" si="6"/>
        <v/>
      </c>
      <c r="Q6" s="152" t="str">
        <f>IFERROR(_xlfn.IFS(AND(C6&lt;=64,OR(D6&gt;550000,D18&gt;600000)),1,AND(C6&lt;=64,OR(D6&gt;550000,D18&gt;1100000)),1),"")</f>
        <v/>
      </c>
      <c r="R6" s="198" t="s">
        <v>29</v>
      </c>
      <c r="S6" s="201" t="str">
        <f>IFERROR(_xlfn.IFS(S2&lt;=(マスタ管理!$B$27+($S$3-1)*マスタ管理!$D$27),マスタ管理!$C$16,AND(S2&gt;(マスタ管理!$B$27+($S$3-1)*マスタ管理!$D$27),S2&lt;=(マスタ管理!$B$28+(_xlfn.IFS(($S$3-1)&lt;=0,0,($S$3-1)&gt;0,($S$3-1))*マスタ管理!$D$28+マスタ管理!$F$28*(S4+S5)))),マスタ管理!$D$16,AND(S2&gt;(マスタ管理!$B$28+($S$3-1)*マスタ管理!$D$28+マスタ管理!$F$28*(S4+S5)),S2&lt;=(マスタ管理!$B$29+($S$3-1)*マスタ管理!$D$29+マスタ管理!$F$29*(S4+S5))),マスタ管理!$E$16),"軽減なし")</f>
        <v>7割軽減</v>
      </c>
    </row>
    <row r="7" spans="1:19" ht="13.95">
      <c r="A7" s="156" t="str">
        <f>_xlfn.IFS(国保税試算表!$B17&lt;&gt;"",国保税試算表!$B17,国保税試算表!$B17="","")</f>
        <v/>
      </c>
      <c r="B7" s="161" t="str">
        <f>_xlfn.IFS(A7&lt;&gt;"",国保税試算表!$F17,A7="","")</f>
        <v/>
      </c>
      <c r="C7" s="164" t="str">
        <f>_xlfn.IFS(A7&lt;&gt;"",国保税試算表!$J17,A7="","")</f>
        <v/>
      </c>
      <c r="D7" s="166" t="str">
        <f>_xlfn.IFS(A7&lt;&gt;"",国保税試算表!$L17,A7="","")</f>
        <v/>
      </c>
      <c r="E7" s="160" t="str">
        <f>_xlfn.IFS(国保税試算表!$P17="非該当",0,国保税試算表!$P17="該当",1,国保税試算表!$P17="","")</f>
        <v/>
      </c>
      <c r="F7" s="167" t="str">
        <f>IFERROR(_xlfn.IFS(D7&lt;=マスタ管理!$B$49,0,AND(D7&gt;=マスタ管理!$A$50,D7&lt;=マスタ管理!$B$50),D7+マスタ管理!$D$50,AND(D7&gt;マスタ管理!$A$51,D7&lt;=マスタ管理!$B$51),マスタ管理!$D$51,AND(D7&gt;=マスタ管理!$A$52,D7&lt;=マスタ管理!$B$52),マスタ管理!$D$52,AND(D7&gt;=マスタ管理!$A$53,D7&lt;=マスタ管理!$B$53),マスタ管理!$D$53,AND(D7&gt;=マスタ管理!$A$54,D7&lt;=マスタ管理!$B$54),マスタ管理!$D$54,AND(D7&gt;=マスタ管理!$A$55,D7&lt;=マスタ管理!$B$55),ROUNDDOWN(D7/4,-3)*マスタ管理!$C$55+マスタ管理!$D$55,AND(D7&gt;=マスタ管理!$A$56,D7&lt;=マスタ管理!$B$56),ROUNDDOWN(D7/4,-3)*マスタ管理!$C$56+マスタ管理!$D$56,AND(D7&gt;=マスタ管理!$A$57,D7&lt;=マスタ管理!$B$57),ROUNDDOWN(D7/4,-3)*マスタ管理!$C$57+マスタ管理!$D$57,AND(D7&gt;=マスタ管理!$A$58,D7&lt;=マスタ管理!$B$58),D7*マスタ管理!$C$58+マスタ管理!D63,D7&gt;=マスタ管理!$A$59,D7-マスタ管理!$D$59),"")</f>
        <v/>
      </c>
      <c r="G7" s="179" t="str">
        <f>IFERROR(_xlfn.IFS(D7&lt;=マスタ管理!$B$49,0,AND(D7&gt;=マスタ管理!$A$50,D7&lt;=マスタ管理!$B$50),D7+マスタ管理!$D$50,AND(D7&gt;マスタ管理!$A$51,D7&lt;=マスタ管理!$B$51),マスタ管理!$D$51,AND(D7&gt;=マスタ管理!$A$52,D7&lt;=マスタ管理!$B$52),マスタ管理!$D$52,AND(D7&gt;=マスタ管理!$A$53,D7&lt;=マスタ管理!$B$53),マスタ管理!$D$53,AND(D7&gt;=マスタ管理!$A$54,D7&lt;=マスタ管理!$B$54),マスタ管理!$D$54,AND(D7&gt;=マスタ管理!$A$55,D7&lt;=マスタ管理!$B$55),ROUNDDOWN(D7/4,-3)*マスタ管理!$C$55+マスタ管理!$D$55,AND(D7&gt;=マスタ管理!$A$56,D7&lt;=マスタ管理!$B$56),ROUNDDOWN(D7/4,-3)*マスタ管理!$C$56+マスタ管理!$D$56,AND(D7&gt;=マスタ管理!$A$57,D7&lt;=マスタ管理!$B$57),ROUNDDOWN(D7/4,-3)*マスタ管理!$C$57+マスタ管理!$D$57,AND(D7&gt;=マスタ管理!$A$58,D7&lt;=マスタ管理!$B$58),D7*マスタ管理!$C$58+マスタ管理!D68,D7&gt;=マスタ管理!$A$59,D7-マスタ管理!D69)*30%,"")</f>
        <v/>
      </c>
      <c r="H7" s="179" t="str">
        <f t="shared" si="0"/>
        <v/>
      </c>
      <c r="I7" s="179" t="str">
        <f t="shared" si="1"/>
        <v/>
      </c>
      <c r="J7" s="179" t="str">
        <f>_xlfn.IFS(A7&lt;&gt;"",国保税試算表!X17,A7="","")</f>
        <v/>
      </c>
      <c r="K7" s="184" t="str">
        <f>_xlfn.IFS(A7&lt;&gt;"",国保税試算表!AB17,A7="","")</f>
        <v/>
      </c>
      <c r="L7" s="179" t="str">
        <f t="shared" si="2"/>
        <v/>
      </c>
      <c r="M7" s="167" t="str">
        <f t="shared" si="3"/>
        <v/>
      </c>
      <c r="N7" s="190" t="str">
        <f t="shared" si="4"/>
        <v/>
      </c>
      <c r="O7" s="193" t="str">
        <f t="shared" si="5"/>
        <v/>
      </c>
      <c r="P7" s="164" t="str">
        <f t="shared" si="6"/>
        <v/>
      </c>
      <c r="Q7" s="152" t="str">
        <f>IFERROR(_xlfn.IFS(AND(C7&lt;=64,OR(D7&gt;550000,D19&gt;600000)),1,AND(C7&lt;=64,OR(D7&gt;550000,D19&gt;1100000)),1),"")</f>
        <v/>
      </c>
    </row>
    <row r="8" spans="1:19">
      <c r="K8" s="185"/>
      <c r="L8" s="185"/>
      <c r="M8" s="185"/>
      <c r="N8" s="191"/>
      <c r="O8" s="194">
        <f>SUM(O2:O7)</f>
        <v>1</v>
      </c>
    </row>
    <row r="10" spans="1:19" ht="39.6">
      <c r="A10" s="157" t="s">
        <v>13</v>
      </c>
      <c r="B10" s="157" t="s">
        <v>30</v>
      </c>
      <c r="C10" s="157" t="s">
        <v>5</v>
      </c>
      <c r="D10" s="157" t="s">
        <v>15</v>
      </c>
      <c r="E10" s="168" t="s">
        <v>136</v>
      </c>
      <c r="F10" s="168" t="s">
        <v>115</v>
      </c>
      <c r="G10" s="180" t="s">
        <v>109</v>
      </c>
      <c r="H10" s="180" t="s">
        <v>107</v>
      </c>
      <c r="I10" s="180" t="s">
        <v>106</v>
      </c>
      <c r="J10" s="180" t="s">
        <v>105</v>
      </c>
      <c r="K10" s="180" t="s">
        <v>103</v>
      </c>
      <c r="L10" s="180" t="s">
        <v>104</v>
      </c>
      <c r="S10" s="202"/>
    </row>
    <row r="11" spans="1:19">
      <c r="A11" s="157"/>
      <c r="B11" s="157"/>
      <c r="C11" s="157"/>
      <c r="D11" s="157"/>
      <c r="E11" s="168"/>
      <c r="F11" s="174" t="s">
        <v>108</v>
      </c>
      <c r="G11" s="181">
        <f>マスタ管理!$A$66</f>
        <v>64</v>
      </c>
      <c r="H11" s="181">
        <f>マスタ管理!$A$76</f>
        <v>64</v>
      </c>
      <c r="I11" s="181">
        <f>マスタ管理!$A$87</f>
        <v>64</v>
      </c>
      <c r="J11" s="181">
        <f>マスタ管理!$A$97</f>
        <v>65</v>
      </c>
      <c r="K11" s="181">
        <f>マスタ管理!$A$107</f>
        <v>65</v>
      </c>
      <c r="L11" s="181">
        <f>マスタ管理!$A$118</f>
        <v>65</v>
      </c>
    </row>
    <row r="12" spans="1:19">
      <c r="A12" s="157"/>
      <c r="B12" s="157"/>
      <c r="C12" s="157"/>
      <c r="D12" s="157"/>
      <c r="E12" s="168"/>
      <c r="F12" s="174" t="s">
        <v>110</v>
      </c>
      <c r="G12" s="182" t="s">
        <v>113</v>
      </c>
      <c r="H12" s="183">
        <f>マスタ管理!$A$77</f>
        <v>10000001</v>
      </c>
      <c r="I12" s="183">
        <f>マスタ管理!$A$88</f>
        <v>20000001</v>
      </c>
      <c r="J12" s="182" t="s">
        <v>113</v>
      </c>
      <c r="K12" s="183">
        <f>マスタ管理!$A$108</f>
        <v>10000001</v>
      </c>
      <c r="L12" s="181">
        <f>マスタ管理!$A$119</f>
        <v>20000001</v>
      </c>
    </row>
    <row r="13" spans="1:19" ht="13.95">
      <c r="A13" s="157"/>
      <c r="B13" s="157"/>
      <c r="C13" s="157"/>
      <c r="D13" s="157"/>
      <c r="E13" s="169"/>
      <c r="F13" s="175" t="s">
        <v>111</v>
      </c>
      <c r="G13" s="183">
        <f>マスタ管理!$A$67</f>
        <v>10000000</v>
      </c>
      <c r="H13" s="183">
        <f>マスタ管理!$A$78</f>
        <v>20000000</v>
      </c>
      <c r="I13" s="182" t="s">
        <v>113</v>
      </c>
      <c r="J13" s="183">
        <f>マスタ管理!$A$98</f>
        <v>10000000</v>
      </c>
      <c r="K13" s="183">
        <f>マスタ管理!$A$109</f>
        <v>20000000</v>
      </c>
      <c r="L13" s="182" t="s">
        <v>113</v>
      </c>
    </row>
    <row r="14" spans="1:19">
      <c r="A14" s="158" t="str">
        <f t="shared" ref="A14:C19" si="7">A2</f>
        <v>A</v>
      </c>
      <c r="B14" s="160" t="str">
        <f t="shared" si="7"/>
        <v>世帯主</v>
      </c>
      <c r="C14" s="160">
        <f t="shared" si="7"/>
        <v>0</v>
      </c>
      <c r="D14" s="167">
        <f>_xlfn.IFS(A2&lt;&gt;"",国保税試算表!$T12,A2="","")</f>
        <v>0</v>
      </c>
      <c r="E14" s="170">
        <f t="shared" ref="E14:E19" si="8">IF(AND(F2="",J2=""),"",SUM(F2,J2))</f>
        <v>0</v>
      </c>
      <c r="F14" s="176">
        <f t="shared" ref="F14:F19" si="9">IF(D14&lt;&gt;"",_xlfn.IFS(SUM(G14:L14)&lt;0,0,SUM(G14:L14)&gt;=0,SUM(G14:L14)),"")</f>
        <v>0</v>
      </c>
      <c r="G14" s="166">
        <f>IF(AND(C14&lt;&gt;"",$D$14&gt;=1),IFERROR(_xlfn.IFS(AND($C$14&lt;=$G$11,$D$14&lt;=マスタ管理!$B$69,$E$14&lt;=$G$13),$D$14+マスタ管理!$D$69,AND($C$14&lt;=$G$11,$D$14&lt;=マスタ管理!$B$70,$D$14&gt;=マスタ管理!$A$70,$E$14&lt;=$G$13),$D$14*マスタ管理!$C$70,AND($C$14&lt;=$G$11,$D$14&lt;=マスタ管理!$B$71,$D$14&gt;=マスタ管理!$A$71,$E$14&lt;=$G$13),$D$14*マスタ管理!$C$71,AND($C$14&lt;=$G$11,$D$14&lt;=マスタ管理!$B$72,$D$14&gt;=マスタ管理!$A$72,$E$14&lt;=$G$13),$D$14*マスタ管理!$C$72,AND($C$14&lt;=$G$11,$D$14&gt;=マスタ管理!$A$73,$E$14&lt;=$G$13),$D$14+マスタ管理!D73),FALSE),0)</f>
        <v>0</v>
      </c>
      <c r="H14" s="179">
        <f>IF($D$14&gt;=1,IFERROR(_xlfn.IFS(AND($C$14&lt;=$H$11,$D$14&lt;=マスタ管理!$B$69,$E$14&gt;=$H$12,$E$14&lt;=$H$13),$D$14+マスタ管理!$D$69,AND($C$14&lt;=$H$11,$D$14&lt;=マスタ管理!$B$70,$D$14&gt;=マスタ管理!$A$70,$E$14&gt;=$H$12,$E$14&lt;=$H$13),$D$14*マスタ管理!$C$70,AND($C$14&lt;=$H$11,$D$14&lt;=マスタ管理!$B$71,$D$14&gt;=マスタ管理!$A$71,$E$14&gt;=$H$12,$E$14&lt;=$H$13),$D$14*マスタ管理!$C$71,AND($C$14&lt;=$H$11,$D$14&lt;=マスタ管理!$B$72,$D$14&gt;=マスタ管理!$A$72,$E$14&gt;=$H$12,$E$14&lt;=$H$13),$D$14*マスタ管理!$C$72,AND($C$14&lt;=$H$11,$D$14&gt;=マスタ管理!$A$73,$E$14&gt;=$H$12,$E$14&lt;=$H$13),$D$14+マスタ管理!E73),FALSE),0)</f>
        <v>0</v>
      </c>
      <c r="I14" s="179">
        <f>IF($D$14&gt;=1,IFERROR(_xlfn.IFS(AND($C$14&lt;=$I$11,$D$14&lt;=マスタ管理!$B$69,$E$14&gt;=$I$12),$D$14+マスタ管理!$D$69,AND($C$14&lt;=$I$11,$D$14&lt;=マスタ管理!$B$70,$D$14&gt;=マスタ管理!$A$70,$E$14&gt;=$I$12),$D$14*マスタ管理!$C$70,AND($C$14&lt;=$I$11,$D$14&lt;=マスタ管理!$B$71,$D$14&gt;=マスタ管理!$A$71,$E$14&gt;=$I$12),$D$14*マスタ管理!$C$71,AND($C$14&lt;=$I$11,$D$14&lt;=マスタ管理!$B$72,$D$14&gt;=マスタ管理!$A$72,$E$14&gt;=$I$12),$D$14*マスタ管理!$C$72,AND($C$14&lt;=$I$11,$D$14&gt;=マスタ管理!$A$73,$E$14&gt;=$I$12),$D$14+マスタ管理!F73),FALSE),0)</f>
        <v>0</v>
      </c>
      <c r="J14" s="179">
        <f>IF($D14&gt;=1,IFERROR(_xlfn.IFS(AND($C14&gt;=$J$11,$E14&lt;=$J$13,$D14&lt;=マスタ管理!$B$100),計算用!$D14+マスタ管理!$D$100,AND($C14&gt;=$J$11,$E14&lt;=$J$13,$D14&gt;=マスタ管理!$A$101,$D14&lt;=マスタ管理!$B$101),計算用!$D14*マスタ管理!$C$101+マスタ管理!$D$101,AND($C14&gt;=$J$11,$E14&lt;=$J$13,$D14&gt;=マスタ管理!$A$102,$D14&lt;=マスタ管理!$B$102),計算用!$D14*マスタ管理!C102+マスタ管理!$D$102,AND($C14&gt;=$J$11,$E14&lt;=$J$13,$D14&gt;=マスタ管理!$A$103,$D14&lt;=マスタ管理!$B$103),計算用!$D14*マスタ管理!$C$103+マスタ管理!$D$103,AND($C14&gt;=$J$11,$E14&lt;=$J$13,$D14&gt;=マスタ管理!$A$104),計算用!$D14+マスタ管理!$D$101),FALSE),0)</f>
        <v>0</v>
      </c>
      <c r="K14" s="179">
        <f>IF($D14&gt;=1,IFERROR(_xlfn.IFS(AND($C14&gt;=$K$11,$E14&gt;=$K$12,$E14&lt;=$K$13,計算用!D14&gt;=マスタ管理!$A$111,計算用!$D14&lt;=マスタ管理!$B$111),計算用!$D14+マスタ管理!$D$111,AND($C14&gt;=$K$11,$E14&gt;=$K$12,$E14&lt;=$K$13,計算用!D14&gt;=マスタ管理!$A$112,計算用!$D14&lt;=マスタ管理!$B$112),計算用!$D14*マスタ管理!$C$112+マスタ管理!$D$112,AND($C14&gt;=$K$11,$E14&gt;=$K$12,$E14&lt;=$K$13,計算用!D14&gt;=マスタ管理!$A$113,計算用!$D14&lt;=マスタ管理!$B$113),計算用!$D14*マスタ管理!$C$113+マスタ管理!$D$113,AND($C14&gt;=$K$11,$E14&gt;=$K$12,$E14&lt;=$K$13,計算用!$D14&gt;=マスタ管理!$A$114,計算用!$D14&lt;=マスタ管理!$B$114),計算用!$D14*マスタ管理!$C$114+マスタ管理!$D$114,AND($C14&gt;=$K$11,$E14&gt;=$K$12,$E14&lt;=$K$13,計算用!$D14&gt;=マスタ管理!$A$115),計算用!$D14+マスタ管理!$D$115),FALSE),0)</f>
        <v>0</v>
      </c>
      <c r="L14" s="179">
        <f>IF($D14&gt;=1,IFERROR(_xlfn.IFS(AND($C14&gt;=$L$11,$E14&gt;=$L$12,$D14&gt;=マスタ管理!$A$121,$D14&lt;=マスタ管理!$B$121),$D14+マスタ管理!$D$121,AND($C14&gt;=$L$11,$E14&gt;=$L$12,$D14&gt;=マスタ管理!$A$122,$D14&lt;=マスタ管理!$B$122),$D14*マスタ管理!$C$122+マスタ管理!$D$122,AND($C14&gt;=$L$11,$E14&gt;=$L$12,$D14&gt;=マスタ管理!$A$123,$D14&lt;=マスタ管理!$B$123),$D14*マスタ管理!$C$123+マスタ管理!$D$123,AND($C14&gt;=$L$11,$E14&gt;=$L$12,$D14&gt;=マスタ管理!$A$124,$D14&lt;=マスタ管理!$B$124),$D14*マスタ管理!$C$124+マスタ管理!$D$124,AND($C14&gt;=$L$11,$E14&gt;=$L$12,$D14&gt;=マスタ管理!$A$125),$D14+マスタ管理!$D$125),FALSE),0)</f>
        <v>0</v>
      </c>
    </row>
    <row r="15" spans="1:19">
      <c r="A15" s="158" t="str">
        <f t="shared" si="7"/>
        <v/>
      </c>
      <c r="B15" s="160" t="str">
        <f t="shared" si="7"/>
        <v/>
      </c>
      <c r="C15" s="160" t="str">
        <f t="shared" si="7"/>
        <v/>
      </c>
      <c r="D15" s="167" t="str">
        <f>_xlfn.IFS(A3&lt;&gt;"",国保税試算表!$T13,A3="","")</f>
        <v/>
      </c>
      <c r="E15" s="171" t="str">
        <f t="shared" si="8"/>
        <v/>
      </c>
      <c r="F15" s="177" t="str">
        <f t="shared" si="9"/>
        <v/>
      </c>
      <c r="G15" s="166" t="b">
        <f>IF($D$15&gt;=1,IFERROR(_xlfn.IFS(AND($C$15&lt;=$G$11,$D$15&lt;=マスタ管理!$B$69,$E$15&lt;=$G$13),$D$15+マスタ管理!$D$69,AND($C$15&lt;=$G$11,$D$15&lt;=マスタ管理!$B$70,$D$15&gt;=マスタ管理!$A$70,$E$15&lt;=$G$13),$D$15*マスタ管理!$C$70,AND($C$15&lt;=$G$11,$D$15&lt;=マスタ管理!$B$71,$D$15&gt;=マスタ管理!$A$71,$E$15&lt;=$G$13),$D$15*マスタ管理!$C$71,AND($C$15&lt;=$G$11,$D$15&lt;=マスタ管理!$B$72,$D$15&gt;=マスタ管理!$A$72,$E$15&lt;=$G$13),$D$15*マスタ管理!$C$72,AND($C$15&lt;=$G$11,$D$15&gt;=マスタ管理!$A$73,$E$15&lt;=$G$13),$D$15+マスタ管理!B78),FALSE),0)</f>
        <v>0</v>
      </c>
      <c r="H15" s="179" t="b">
        <f>IF($D$15&gt;=1,IFERROR(_xlfn.IFS(AND($C$15&lt;=$H$11,$D$15&lt;=マスタ管理!$B$69,$E$15&gt;=$H$12,$E$15&lt;=$H$13),$D$15+マスタ管理!$D$69,AND($C$15&lt;=$H$11,$D$15&lt;=マスタ管理!$B$70,$D$15&gt;=マスタ管理!$A$70,$E$15&gt;=$H$12,$E$15&lt;=$H$13),$D$15*マスタ管理!$C$70,AND($C$15&lt;=$H$11,$D$15&lt;=マスタ管理!$B$71,$D$15&gt;=マスタ管理!$A$71,$E$15&gt;=$H$12,$E$15&lt;=$H$13),$D$15*マスタ管理!$C$71,AND($C$15&lt;=$H$11,$D$15&lt;=マスタ管理!$B$72,$D$15&gt;=マスタ管理!$A$72,$E$15&gt;=$H$12,$E$15&lt;=$H$13),$D$15*マスタ管理!$C$72,AND($C$15&lt;=$H$11,$D$15&gt;=マスタ管理!$A$73,$E$15&gt;=$H$12,$E$15&lt;=$H$13),$D$15+マスタ管理!E77),FALSE),0)</f>
        <v>0</v>
      </c>
      <c r="I15" s="179" t="b">
        <f>IF($D$15&gt;=1,IFERROR(_xlfn.IFS(AND($C$15&lt;=$I$11,$D$15&lt;=マスタ管理!$B$69,$E$15&gt;=$I$12),$D$15+マスタ管理!$D$69,AND($C$15&lt;=$I$11,$D$15&lt;=マスタ管理!$B$70,$D$15&gt;=マスタ管理!$A$70,$E$15&gt;=$I$12),$D$15*マスタ管理!$C$70,AND($C$15&lt;=$I$11,$D$15&lt;=マスタ管理!$B$71,$D$15&gt;=マスタ管理!$A$71,$E$15&gt;=$I$12),$D$15*マスタ管理!$C$71,AND($C$15&lt;=$I$11,$D$15&lt;=マスタ管理!$B$72,$D$15&gt;=マスタ管理!$A$72,$E$15&gt;=$I$12),$D$15*マスタ管理!$C$72,AND($C$15&lt;=$I$11,$D$15&gt;=マスタ管理!$A$73,$E$15&gt;=$I$12),$D$15+マスタ管理!F77),FALSE),0)</f>
        <v>0</v>
      </c>
      <c r="J15" s="179" t="b">
        <f>IF($D15&gt;=1,IFERROR(_xlfn.IFS(AND($C15&gt;=$J$11,$E15&lt;=$J$13,$D15&lt;=マスタ管理!$B$100),計算用!$D15+マスタ管理!$D$100,AND($C15&gt;=$J$11,$E15&lt;=$J$13,$D15&gt;=マスタ管理!$A$101,$D15&lt;=マスタ管理!$B$101),計算用!$D15*マスタ管理!$C$101+マスタ管理!$D$101,AND($C15&gt;=$J$11,$E15&lt;=$J$13,$D15&gt;=マスタ管理!$A$102,$D15&lt;=マスタ管理!$B$102),計算用!$D15*マスタ管理!C103+マスタ管理!$D$102,AND($C15&gt;=$J$11,$E15&lt;=$J$13,$D15&gt;=マスタ管理!$A$103,$D15&lt;=マスタ管理!$B$103),計算用!$D15*マスタ管理!$C$103+マスタ管理!$D$103,AND($C15&gt;=$J$11,$E15&lt;=$J$13,$D15&gt;=マスタ管理!$A$104),計算用!$D15+マスタ管理!$D$101),FALSE),0)</f>
        <v>0</v>
      </c>
      <c r="K15" s="179" t="b">
        <f>IF($D15&gt;=1,IFERROR(_xlfn.IFS(AND($C15&gt;=$K$11,$E15&gt;=$K$12,$E15&lt;=$K$13,計算用!D15&gt;=マスタ管理!$A$111,計算用!$D15&lt;=マスタ管理!$B$111),計算用!$D15+マスタ管理!$D$111,AND($C15&gt;=$K$11,$E15&gt;=$K$12,$E15&lt;=$K$13,計算用!D15&gt;=マスタ管理!$A$112,計算用!$D15&lt;=マスタ管理!$B$112),計算用!$D15*マスタ管理!$C$112+マスタ管理!$D$112,AND($C15&gt;=$K$11,$E15&gt;=$K$12,$E15&lt;=$K$13,計算用!D15&gt;=マスタ管理!$A$113,計算用!$D15&lt;=マスタ管理!$B$113),計算用!$D15*マスタ管理!$C$113+マスタ管理!$D$113,AND($C15&gt;=$K$11,$E15&gt;=$K$12,$E15&lt;=$K$13,計算用!$D15&gt;=マスタ管理!$A$114,計算用!$D15&lt;=マスタ管理!$B$114),計算用!$D15*マスタ管理!$C$114+マスタ管理!$D$114,AND($C15&gt;=$K$11,$E15&gt;=$K$12,$E15&lt;=$K$13,計算用!$D15&gt;=マスタ管理!$A$115),計算用!$D15+マスタ管理!$D$115),FALSE),0)</f>
        <v>0</v>
      </c>
      <c r="L15" s="179" t="b">
        <f>IF($D15&gt;=1,IFERROR(_xlfn.IFS(AND($C15&gt;=$L$11,$E15&gt;=$L$12,$D15&gt;=マスタ管理!$A$121,$D15&lt;=マスタ管理!$B$121),$D15+マスタ管理!$D$121,AND($C15&gt;=$L$11,$E15&gt;=$L$12,$D15&gt;=マスタ管理!$A$122,$D15&lt;=マスタ管理!$B$122),$D15*マスタ管理!$C$122+マスタ管理!$D$122,AND($C15&gt;=$L$11,$E15&gt;=$L$12,$D15&gt;=マスタ管理!$A$123,$D15&lt;=マスタ管理!$B$123),$D15*マスタ管理!$C$123+マスタ管理!$D$123,AND($C15&gt;=$L$11,$E15&gt;=$L$12,$D15&gt;=マスタ管理!$A$124,$D15&lt;=マスタ管理!$B$124),$D15*マスタ管理!$C$124+マスタ管理!$D$124,AND($C15&gt;=$L$11,$E15&gt;=$L$12,$D15&gt;=マスタ管理!$A$125),$D15+マスタ管理!$D$125),FALSE),0)</f>
        <v>0</v>
      </c>
    </row>
    <row r="16" spans="1:19">
      <c r="A16" s="158" t="str">
        <f t="shared" si="7"/>
        <v/>
      </c>
      <c r="B16" s="160" t="str">
        <f t="shared" si="7"/>
        <v/>
      </c>
      <c r="C16" s="160" t="str">
        <f t="shared" si="7"/>
        <v/>
      </c>
      <c r="D16" s="167" t="str">
        <f>_xlfn.IFS(A4&lt;&gt;"",国保税試算表!$T14,A4="","")</f>
        <v/>
      </c>
      <c r="E16" s="171" t="str">
        <f t="shared" si="8"/>
        <v/>
      </c>
      <c r="F16" s="177" t="str">
        <f t="shared" si="9"/>
        <v/>
      </c>
      <c r="G16" s="166" t="b">
        <f>IF($D$16&gt;=1,IFERROR(_xlfn.IFS(AND($C$16&lt;=$G$11,$D$16&lt;=マスタ管理!$B$69,E16&lt;=$G$13),$D$16+マスタ管理!$D$69,AND($C$16&lt;=$G$11,$D$16&lt;=マスタ管理!$B$70,$D$16&gt;=マスタ管理!$A$70,E16&lt;=$G$13),$D$16*マスタ管理!$C$70,AND($C$16&lt;=$G$11,$D$16&lt;=マスタ管理!$B$71,$D$16&gt;=マスタ管理!$A$71,E16&lt;=$G$13),$D$16*マスタ管理!$C$71,AND($C$16&lt;=$G$11,$D$16&lt;=マスタ管理!$B$72,$D$16&gt;=マスタ管理!$A$72,E16&lt;=$G$13),$D$16*マスタ管理!$C$72,AND($C$16&lt;=$G$11,$D$16&gt;=マスタ管理!$A$73,E16&lt;=$G$13),$D$16+マスタ管理!D79),FALSE),0)</f>
        <v>0</v>
      </c>
      <c r="H16" s="179" t="b">
        <f>IF($D$16&gt;=1,IFERROR(_xlfn.IFS(AND($C$16&lt;=$H$11,$D$16&lt;=マスタ管理!$B$69,$E$16&gt;=$H$12,$E$16&lt;=$H$13),$D$16+マスタ管理!$D$69,AND($C$16&lt;=$H$11,$D$16&lt;=マスタ管理!$B$70,$D$16&gt;=マスタ管理!$A$70,$E$16&gt;=$H$12,$E$16&lt;=$H$13),$D$16*マスタ管理!$C$70,AND($C$16&lt;=$H$11,$D$16&lt;=マスタ管理!$B$71,$D$16&gt;=マスタ管理!$A$71,$E$16&gt;=$H$12,$E$16&lt;=$H$13),$D$16*マスタ管理!$C$71,AND($C$16&lt;=$H$11,$D$16&lt;=マスタ管理!$B$72,$D$16&gt;=マスタ管理!$A$72,$E$16&gt;=$H$12,$E$16&lt;=$H$13),$D$16*マスタ管理!$C$72,AND($C$16&lt;=$H$11,$D$16&gt;=マスタ管理!$A$73,$E$16&gt;=$H$12,$E$16&lt;=$H$13),$D$16+マスタ管理!E79),FALSE),0)</f>
        <v>0</v>
      </c>
      <c r="I16" s="179" t="b">
        <f>IF($D$16&gt;=1,IFERROR(_xlfn.IFS(AND($C$16&lt;=$I$11,$D$16&lt;=マスタ管理!$B$69,E16&gt;=$I$12),$D$16+マスタ管理!$D$69,AND($C$16&lt;=$I$11,$D$16&lt;=マスタ管理!$B$70,$D$16&gt;=マスタ管理!$A$70,E16&gt;=$I$12),$D$16*マスタ管理!$C$70,AND($C$16&lt;=$I$11,$D$16&lt;=マスタ管理!$B$71,$D$16&gt;=マスタ管理!$A$71,E16&gt;=$I$12),$D$16*マスタ管理!$C$71,AND($C$16&lt;=$I$11,$D$16&lt;=マスタ管理!$B$72,$D$16&gt;=マスタ管理!$A$72,E16&gt;=$I$12),$D$16*マスタ管理!$C$72,AND($C$16&lt;=$I$11,$D$16&gt;=マスタ管理!$A$73,E16&gt;=$I$12),$D$16+マスタ管理!F79),FALSE),0)</f>
        <v>0</v>
      </c>
      <c r="J16" s="179" t="b">
        <f>IF($D16&gt;=1,IFERROR(_xlfn.IFS(AND($C16&gt;=$J$11,$E16&lt;=$J$13,$D16&lt;=マスタ管理!$B$100),計算用!$D16+マスタ管理!$D$100,AND($C16&gt;=$J$11,$E16&lt;=$J$13,$D16&gt;=マスタ管理!$A$101,$D16&lt;=マスタ管理!$B$101),計算用!$D16*マスタ管理!$C$101+マスタ管理!$D$101,AND($C16&gt;=$J$11,$E16&lt;=$J$13,$D16&gt;=マスタ管理!$A$102,$D16&lt;=マスタ管理!$B$102),計算用!$D16*マスタ管理!C104+マスタ管理!$D$102,AND($C16&gt;=$J$11,$E16&lt;=$J$13,$D16&gt;=マスタ管理!$A$103,$D16&lt;=マスタ管理!$B$103),計算用!$D16*マスタ管理!$C$103+マスタ管理!$D$103,AND($C16&gt;=$J$11,$E16&lt;=$J$13,$D16&gt;=マスタ管理!$A$104),計算用!$D16+マスタ管理!$D$101),FALSE),0)</f>
        <v>0</v>
      </c>
      <c r="K16" s="179" t="b">
        <f>IF($D16&gt;=1,IFERROR(_xlfn.IFS(AND($C16&gt;=$K$11,$E16&gt;=$K$12,$E16&lt;=$K$13,計算用!D16&gt;=マスタ管理!$A$111,計算用!$D16&lt;=マスタ管理!$B$111),計算用!$D16+マスタ管理!$D$111,AND($C16&gt;=$K$11,$E16&gt;=$K$12,$E16&lt;=$K$13,計算用!D16&gt;=マスタ管理!$A$112,計算用!$D16&lt;=マスタ管理!$B$112),計算用!$D16*マスタ管理!$C$112+マスタ管理!$D$112,AND($C16&gt;=$K$11,$E16&gt;=$K$12,$E16&lt;=$K$13,計算用!D16&gt;=マスタ管理!$A$113,計算用!$D16&lt;=マスタ管理!$B$113),計算用!$D16*マスタ管理!$C$113+マスタ管理!$D$113,AND($C16&gt;=$K$11,$E16&gt;=$K$12,$E16&lt;=$K$13,計算用!$D16&gt;=マスタ管理!$A$114,計算用!$D16&lt;=マスタ管理!$B$114),計算用!$D16*マスタ管理!$C$114+マスタ管理!$D$114,AND($C16&gt;=$K$11,$E16&gt;=$K$12,$E16&lt;=$K$13,計算用!$D16&gt;=マスタ管理!$A$115),計算用!$D16+マスタ管理!$D$115),FALSE),0)</f>
        <v>0</v>
      </c>
      <c r="L16" s="179" t="b">
        <f>IF($D16&gt;=1,IFERROR(_xlfn.IFS(AND($C16&gt;=$L$11,$E16&gt;=$L$12,$D16&gt;=マスタ管理!$A$121,$D16&lt;=マスタ管理!$B$121),$D16+マスタ管理!$D$121,AND($C16&gt;=$L$11,$E16&gt;=$L$12,$D16&gt;=マスタ管理!$A$122,$D16&lt;=マスタ管理!$B$122),$D16*マスタ管理!$C$122+マスタ管理!$D$122,AND($C16&gt;=$L$11,$E16&gt;=$L$12,$D16&gt;=マスタ管理!$A$123,$D16&lt;=マスタ管理!$B$123),$D16*マスタ管理!$C$123+マスタ管理!$D$123,AND($C16&gt;=$L$11,$E16&gt;=$L$12,$D16&gt;=マスタ管理!$A$124,$D16&lt;=マスタ管理!$B$124),$D16*マスタ管理!$C$124+マスタ管理!$D$124,AND($C16&gt;=$L$11,$E16&gt;=$L$12,$D16&gt;=マスタ管理!$A$125),$D16+マスタ管理!$D$125),FALSE),0)</f>
        <v>0</v>
      </c>
      <c r="M16" s="187"/>
    </row>
    <row r="17" spans="1:13">
      <c r="A17" s="158" t="str">
        <f t="shared" si="7"/>
        <v/>
      </c>
      <c r="B17" s="160" t="str">
        <f t="shared" si="7"/>
        <v/>
      </c>
      <c r="C17" s="160" t="str">
        <f t="shared" si="7"/>
        <v/>
      </c>
      <c r="D17" s="167" t="str">
        <f>_xlfn.IFS(A5&lt;&gt;"",国保税試算表!$T15,A5="","")</f>
        <v/>
      </c>
      <c r="E17" s="171" t="str">
        <f t="shared" si="8"/>
        <v/>
      </c>
      <c r="F17" s="177" t="str">
        <f t="shared" si="9"/>
        <v/>
      </c>
      <c r="G17" s="166" t="b">
        <f>IF($D$17&gt;=1,IFERROR(_xlfn.IFS(AND($C$17&lt;=$G$11,$D$17&lt;=マスタ管理!$B$69,E17&lt;=$G$13),$D$17+マスタ管理!$D$69,AND($C$17&lt;=$G$11,$D$17&lt;=マスタ管理!$B$70,$D$17&gt;=マスタ管理!$A$70,E17&lt;=$G$13),$D$17*マスタ管理!$C$70,AND($C$17&lt;=$G$11,$D$17&lt;=マスタ管理!$B$71,$D$17&gt;=マスタ管理!$A$71,E17&lt;=$G$13),$D$17*マスタ管理!$C$71,AND($C$17&lt;=$G$11,$D$17&lt;=マスタ管理!$B$72,$D$17&gt;=マスタ管理!$A$72,E17&lt;=$G$13),$D$17*マスタ管理!$C$72,AND($C$17&lt;=$G$11,$D$17&gt;=マスタ管理!$A$73,E17&lt;=$G$13),$D$17+マスタ管理!D80),FALSE),0)</f>
        <v>0</v>
      </c>
      <c r="H17" s="179" t="b">
        <f>IF($D$17&gt;=1,IFERROR(_xlfn.IFS(AND($C$17&lt;=$H$11,$D$17&lt;=マスタ管理!$B$69,$E$17&gt;=$H$12,$E$17&lt;=$H$13),$D$17+マスタ管理!$D$69,AND($C$17&lt;=$H$11,$D$17&lt;=マスタ管理!$B$70,$D$17&gt;=マスタ管理!$A$70,$E$17&gt;=$H$12,$E$17&lt;=$H$13),$D$17*マスタ管理!$C$70,AND($C$17&lt;=$H$11,$D$17&lt;=マスタ管理!$B$71,$D$17&gt;=マスタ管理!$A$71,$E$17&gt;=$H$12,$E$17&lt;=$H$13),$D$17*マスタ管理!$C$71,AND($C$17&lt;=$H$11,$D$17&lt;=マスタ管理!$B$72,$D$17&gt;=マスタ管理!$A$72,$E$17&gt;=$H$12,$E$17&lt;=$H$13),$D$17*マスタ管理!$C$72,AND($C$17&lt;=$H$11,$D$17&gt;=マスタ管理!$A$73,$E$17&gt;=$H$12,$E$17&lt;=$H$13),$D$17+マスタ管理!E80),FALSE),0)</f>
        <v>0</v>
      </c>
      <c r="I17" s="179" t="b">
        <f>IF($D$17&gt;=1,IFERROR(_xlfn.IFS(AND($C$17&lt;=$I$11,$D$17&lt;=マスタ管理!$B$69,E17&gt;=$I$12),$D$17+マスタ管理!$D$69,AND($C$17&lt;=$I$11,$D$17&lt;=マスタ管理!$B$70,$D$17&gt;=マスタ管理!$A$70,E17&gt;=$I$12),$D$17*マスタ管理!$C$70,AND($C$17&lt;=$I$11,$D$17&lt;=マスタ管理!$B$71,$D$17&gt;=マスタ管理!$A$71,E17&gt;=$I$12),$D$17*マスタ管理!$C$71,AND($C$17&lt;=$I$11,$D$17&lt;=マスタ管理!$B$72,$D$17&gt;=マスタ管理!$A$72,E17&gt;=$I$12),$D$17*マスタ管理!$C$72,AND($C$17&lt;=$I$11,$D$17&gt;=マスタ管理!$A$73,E17&gt;=$I$12),$D$17+マスタ管理!F80),FALSE),0)</f>
        <v>0</v>
      </c>
      <c r="J17" s="179" t="b">
        <f>IF($D17&gt;=1,IFERROR(_xlfn.IFS(AND($C17&gt;=$J$11,$E17&lt;=$J$13,$D17&lt;=マスタ管理!$B$100),計算用!$D17+マスタ管理!$D$100,AND($C17&gt;=$J$11,$E17&lt;=$J$13,$D17&gt;=マスタ管理!$A$101,$D17&lt;=マスタ管理!$B$101),計算用!$D17*マスタ管理!$C$101+マスタ管理!$D$101,AND($C17&gt;=$J$11,$E17&lt;=$J$13,$D17&gt;=マスタ管理!$A$102,$D17&lt;=マスタ管理!$B$102),計算用!$D17*マスタ管理!C105+マスタ管理!$D$102,AND($C17&gt;=$J$11,$E17&lt;=$J$13,$D17&gt;=マスタ管理!$A$103,$D17&lt;=マスタ管理!$B$103),計算用!$D17*マスタ管理!$C$103+マスタ管理!$D$103,AND($C17&gt;=$J$11,$E17&lt;=$J$13,$D17&gt;=マスタ管理!$A$104),計算用!$D17+マスタ管理!$D$101),FALSE),0)</f>
        <v>0</v>
      </c>
      <c r="K17" s="179" t="b">
        <f>IF($D17&gt;=1,IFERROR(_xlfn.IFS(AND($C17&gt;=$K$11,$E17&gt;=$K$12,$E17&lt;=$K$13,計算用!D17&gt;=マスタ管理!$A$111,計算用!$D17&lt;=マスタ管理!$B$111),計算用!$D17+マスタ管理!$D$111,AND($C17&gt;=$K$11,$E17&gt;=$K$12,$E17&lt;=$K$13,計算用!D17&gt;=マスタ管理!$A$112,計算用!$D17&lt;=マスタ管理!$B$112),計算用!$D17*マスタ管理!$C$112+マスタ管理!$D$112,AND($C17&gt;=$K$11,$E17&gt;=$K$12,$E17&lt;=$K$13,計算用!D17&gt;=マスタ管理!$A$113,計算用!$D17&lt;=マスタ管理!$B$113),計算用!$D17*マスタ管理!$C$113+マスタ管理!$D$113,AND($C17&gt;=$K$11,$E17&gt;=$K$12,$E17&lt;=$K$13,計算用!$D17&gt;=マスタ管理!$A$114,計算用!$D17&lt;=マスタ管理!$B$114),計算用!$D17*マスタ管理!$C$114+マスタ管理!$D$114,AND($C17&gt;=$K$11,$E17&gt;=$K$12,$E17&lt;=$K$13,計算用!$D17&gt;=マスタ管理!$A$115),計算用!$D17+マスタ管理!$D$115),FALSE),0)</f>
        <v>0</v>
      </c>
      <c r="L17" s="179" t="b">
        <f>IF($D17&gt;=1,IFERROR(_xlfn.IFS(AND($C17&gt;=$L$11,$E17&gt;=$L$12,$D17&gt;=マスタ管理!$A$121,$D17&lt;=マスタ管理!$B$121),$D17+マスタ管理!$D$121,AND($C17&gt;=$L$11,$E17&gt;=$L$12,$D17&gt;=マスタ管理!$A$122,$D17&lt;=マスタ管理!$B$122),$D17*マスタ管理!$C$122+マスタ管理!$D$122,AND($C17&gt;=$L$11,$E17&gt;=$L$12,$D17&gt;=マスタ管理!$A$123,$D17&lt;=マスタ管理!$B$123),$D17*マスタ管理!$C$123+マスタ管理!$D$123,AND($C17&gt;=$L$11,$E17&gt;=$L$12,$D17&gt;=マスタ管理!$A$124,$D17&lt;=マスタ管理!$B$124),$D17*マスタ管理!$C$124+マスタ管理!$D$124,AND($C17&gt;=$L$11,$E17&gt;=$L$12,$D17&gt;=マスタ管理!$A$125),$D17+マスタ管理!$D$125),FALSE),0)</f>
        <v>0</v>
      </c>
      <c r="M17" s="187"/>
    </row>
    <row r="18" spans="1:13">
      <c r="A18" s="158" t="str">
        <f t="shared" si="7"/>
        <v/>
      </c>
      <c r="B18" s="160" t="str">
        <f t="shared" si="7"/>
        <v/>
      </c>
      <c r="C18" s="160" t="str">
        <f t="shared" si="7"/>
        <v/>
      </c>
      <c r="D18" s="167" t="str">
        <f>_xlfn.IFS(A6&lt;&gt;"",国保税試算表!$T16,A6="","")</f>
        <v/>
      </c>
      <c r="E18" s="171" t="str">
        <f t="shared" si="8"/>
        <v/>
      </c>
      <c r="F18" s="177" t="str">
        <f t="shared" si="9"/>
        <v/>
      </c>
      <c r="G18" s="166" t="b">
        <f>IF($D$18&gt;=1,IFERROR(_xlfn.IFS(AND($C$18&lt;=$G$11,$D$18&lt;=マスタ管理!$B$69,E18&lt;=$G$13),$D$18+マスタ管理!$D$69,AND($C$18&lt;=$G$11,$D$18&lt;=マスタ管理!$B$70,$D$18&gt;=マスタ管理!$A$70,E18&lt;=$G$13),$D$18*マスタ管理!$C$70,AND($C$18&lt;=$G$11,$D$18&lt;=マスタ管理!$B$71,$D$18&gt;=マスタ管理!$A$71,E18&lt;=$G$13),$D$18*マスタ管理!$C$71,AND($C$18&lt;=$G$11,$D$18&lt;=マスタ管理!$B$72,$D$18&gt;=マスタ管理!$A$72,E18&lt;=$G$13),$D$18*マスタ管理!$C$72,AND($C$18&lt;=$G$11,$D$18&gt;=マスタ管理!$A$73,E18&lt;=$G$13),$D$18+マスタ管理!D81),FALSE),0)</f>
        <v>0</v>
      </c>
      <c r="H18" s="179" t="b">
        <f>IF($D$18&gt;=1,IFERROR(_xlfn.IFS(AND($C$18&lt;=$H$11,$D$18&lt;=マスタ管理!$B$69,$E$18&gt;=$H$12,$E$18&lt;=$H$13),$D$18+マスタ管理!$D$69,AND($C$18&lt;=$H$11,$D$18&lt;=マスタ管理!$B$70,$D$18&gt;=マスタ管理!$A$70,$E$18&gt;=$H$12,$E$18&lt;=$H$13),$D$18*マスタ管理!$C$70,AND($C$18&lt;=$H$11,$D$18&lt;=マスタ管理!$B$71,$D$18&gt;=マスタ管理!$A$71,$E$18&gt;=$H$12,$E$18&lt;=$H$13),$D$18*マスタ管理!$C$71,AND($C$18&lt;=$H$11,$D$18&lt;=マスタ管理!$B$72,$D$18&gt;=マスタ管理!$A$72,$E$18&gt;=$H$12,$E$18&lt;=$H$13),$D$18*マスタ管理!$C$72,AND($C$18&lt;=$H$11,$D$18&gt;=マスタ管理!$A$73,$E$18&gt;=$H$12,$E$18&lt;=$H$13),$D$18+マスタ管理!E81),FALSE),0)</f>
        <v>0</v>
      </c>
      <c r="I18" s="179" t="b">
        <f>IF($D$18&gt;=1,IFERROR(_xlfn.IFS(AND($C$18&lt;=$I$11,$D$18&lt;=マスタ管理!$B$69,L6&gt;=$I$12),$D$18+マスタ管理!$D$69,AND($C$18&lt;=$I$11,$D$18&lt;=マスタ管理!$B$70,$D$18&gt;=マスタ管理!$A$70,L6&gt;=$I$12),$D$18*マスタ管理!$C$70,AND($C$18&lt;=$I$11,$D$18&lt;=マスタ管理!$B$71,$D$18&gt;=マスタ管理!$A$71,L6&gt;=$I$12),$D$18*マスタ管理!$C$71,AND($C$18&lt;=$I$11,$D$18&lt;=マスタ管理!$B$72,$D$18&gt;=マスタ管理!$A$72,L6&gt;=$I$12),$D$18*マスタ管理!$C$72,AND($C$18&lt;=$I$11,$D$18&gt;=マスタ管理!$A$73,L6&gt;=$I$12),$D$18+マスタ管理!F81),FALSE),0)</f>
        <v>0</v>
      </c>
      <c r="J18" s="179" t="b">
        <f>IF($D18&gt;=1,IFERROR(_xlfn.IFS(AND($C18&gt;=$J$11,$E18&lt;=$J$13,$D18&lt;=マスタ管理!$B$100),計算用!$D18+マスタ管理!$D$100,AND($C18&gt;=$J$11,$E18&lt;=$J$13,$D18&gt;=マスタ管理!$A$101,$D18&lt;=マスタ管理!$B$101),計算用!$D18*マスタ管理!$C$101+マスタ管理!$D$101,AND($C18&gt;=$J$11,$E18&lt;=$J$13,$D18&gt;=マスタ管理!$A$102,$D18&lt;=マスタ管理!$B$102),計算用!$D18*マスタ管理!C106+マスタ管理!$D$102,AND($C18&gt;=$J$11,$E18&lt;=$J$13,$D18&gt;=マスタ管理!$A$103,$D18&lt;=マスタ管理!$B$103),計算用!$D18*マスタ管理!$C$103+マスタ管理!$D$103,AND($C18&gt;=$J$11,$E18&lt;=$J$13,$D18&gt;=マスタ管理!$A$104),計算用!$D18+マスタ管理!$D$101),FALSE),0)</f>
        <v>0</v>
      </c>
      <c r="K18" s="179" t="b">
        <f>IF($D18&gt;=1,IFERROR(_xlfn.IFS(AND($C18&gt;=$K$11,$E18&gt;=$K$12,$E18&lt;=$K$13,計算用!D18&gt;=マスタ管理!$A$111,計算用!$D18&lt;=マスタ管理!$B$111),計算用!$D18+マスタ管理!$D$111,AND($C18&gt;=$K$11,$E18&gt;=$K$12,$E18&lt;=$K$13,計算用!D18&gt;=マスタ管理!$A$112,計算用!$D18&lt;=マスタ管理!$B$112),計算用!$D18*マスタ管理!$C$112+マスタ管理!$D$112,AND($C18&gt;=$K$11,$E18&gt;=$K$12,$E18&lt;=$K$13,計算用!D18&gt;=マスタ管理!$A$113,計算用!$D18&lt;=マスタ管理!$B$113),計算用!$D18*マスタ管理!$C$113+マスタ管理!$D$113,AND($C18&gt;=$K$11,$E18&gt;=$K$12,$E18&lt;=$K$13,計算用!$D18&gt;=マスタ管理!$A$114,計算用!$D18&lt;=マスタ管理!$B$114),計算用!$D18*マスタ管理!$C$114+マスタ管理!$D$114,AND($C18&gt;=$K$11,$E18&gt;=$K$12,$E18&lt;=$K$13,計算用!$D18&gt;=マスタ管理!$A$115),計算用!$D18+マスタ管理!$D$115),FALSE),0)</f>
        <v>0</v>
      </c>
      <c r="L18" s="179" t="b">
        <f>IF($D18&gt;=1,IFERROR(_xlfn.IFS(AND($C18&gt;=$L$11,$E18&gt;=$L$12,$D18&gt;=マスタ管理!$A$121,$D18&lt;=マスタ管理!$B$121),$D18+マスタ管理!$D$121,AND($C18&gt;=$L$11,$E18&gt;=$L$12,$D18&gt;=マスタ管理!$A$122,$D18&lt;=マスタ管理!$B$122),$D18*マスタ管理!$C$122+マスタ管理!$D$122,AND($C18&gt;=$L$11,$E18&gt;=$L$12,$D18&gt;=マスタ管理!$A$123,$D18&lt;=マスタ管理!$B$123),$D18*マスタ管理!$C$123+マスタ管理!$D$123,AND($C18&gt;=$L$11,$E18&gt;=$L$12,$D18&gt;=マスタ管理!$A$124,$D18&lt;=マスタ管理!$B$124),$D18*マスタ管理!$C$124+マスタ管理!$D$124,AND($C18&gt;=$L$11,$E18&gt;=$L$12,$D18&gt;=マスタ管理!$A$125),$D18+マスタ管理!$D$125),FALSE),0)</f>
        <v>0</v>
      </c>
      <c r="M18" s="187"/>
    </row>
    <row r="19" spans="1:13" ht="13.95">
      <c r="A19" s="158" t="str">
        <f t="shared" si="7"/>
        <v/>
      </c>
      <c r="B19" s="160" t="str">
        <f t="shared" si="7"/>
        <v/>
      </c>
      <c r="C19" s="160" t="str">
        <f t="shared" si="7"/>
        <v/>
      </c>
      <c r="D19" s="167" t="str">
        <f>_xlfn.IFS(A7&lt;&gt;"",国保税試算表!$T17,A7="","")</f>
        <v/>
      </c>
      <c r="E19" s="172" t="str">
        <f t="shared" si="8"/>
        <v/>
      </c>
      <c r="F19" s="178" t="str">
        <f t="shared" si="9"/>
        <v/>
      </c>
      <c r="G19" s="166" t="b">
        <f>IF($D$19&gt;=1,IFERROR(_xlfn.IFS(AND($C$19&lt;=$G$11,$D$19&lt;=マスタ管理!$B$69,E19&lt;=$G$13),$D$19+マスタ管理!$D$69,AND($C$19&lt;=$G$11,$D$19&lt;=マスタ管理!$B$70,$D$19&gt;=マスタ管理!$A$70,E19&lt;=$G$13),$D$19*マスタ管理!$C$70,AND($C$19&lt;=$G$11,$D$19&lt;=マスタ管理!$B$71,$D$19&gt;=マスタ管理!$A$71,E19&lt;=$G$13),$D$19*マスタ管理!$C$71,AND($C$19&lt;=$G$11,$D$19&lt;=マスタ管理!$B$72,$D$19&gt;=マスタ管理!$A$72,E19&lt;=$G$13),$D$19*マスタ管理!$C$72,AND($C$19&lt;=$G$11,$D$19&gt;=マスタ管理!$A$73,E19&lt;=$G$13),$D$19+マスタ管理!D82),FALSE),0)</f>
        <v>0</v>
      </c>
      <c r="H19" s="179" t="b">
        <f>IF($D$19&gt;=1,IFERROR(_xlfn.IFS(AND($C$19&lt;=$H$11,$D$19&lt;=マスタ管理!$B$69,$E$19&gt;=$H$12,$E$19&lt;=$H$13),$D$19+マスタ管理!$D$69,AND($C$19&lt;=$H$11,$D$19&lt;=マスタ管理!$B$70,$D$19&gt;=マスタ管理!$A$70,$E$19&gt;=$H$12,$E$19&lt;=$H$13),$D$19*マスタ管理!$C$70,AND($C$19&lt;=$H$11,$D$19&lt;=マスタ管理!$B$71,$D$19&gt;=マスタ管理!$A$71,$E$19&gt;=$H$12,$E$19&lt;=$H$13),$D$19*マスタ管理!$C$71,AND($C$19&lt;=$H$11,$D$19&lt;=マスタ管理!$B$72,$D$19&gt;=マスタ管理!$A$72,$E$19&gt;=$H$12,$E$19&lt;=$H$13),$D$19*マスタ管理!$C$72,AND($C$19&lt;=$H$11,$D$19&gt;=マスタ管理!$A$73,$E$19&gt;=$H$12,$E$19&lt;=$H$13),$D$19+マスタ管理!E82),FALSE),0)</f>
        <v>0</v>
      </c>
      <c r="I19" s="179" t="b">
        <f>IF($D$19&gt;=1,IFERROR(_xlfn.IFS(AND($C$19&lt;=$I$11,$D$19&lt;=マスタ管理!$B$69,L7&gt;=$I$12),$D$19+マスタ管理!$D$69,AND($C$19&lt;=$I$11,$D$19&lt;=マスタ管理!$B$70,$D$19&gt;=マスタ管理!$A$70,L7&gt;=$I$12),$D$19*マスタ管理!$C$70,AND($C$19&lt;=$I$11,$D$19&lt;=マスタ管理!$B$71,$D$19&gt;=マスタ管理!$A$71,L7&gt;=$I$12),$D$19*マスタ管理!$C$71,AND($C$19&lt;=$I$11,$D$19&lt;=マスタ管理!$B$72,$D$19&gt;=マスタ管理!$A$72,L7&gt;=$I$12),$D$19*マスタ管理!$C$72,AND($C$19&lt;=$I$11,$D$19&gt;=マスタ管理!$A$73,L7&gt;=$I$12),$D$19+マスタ管理!F82),FALSE),0)</f>
        <v>0</v>
      </c>
      <c r="J19" s="179" t="b">
        <f>IF($D19&gt;=1,IFERROR(_xlfn.IFS(AND($C19&gt;=$J$11,$E19&lt;=$J$13,$D19&lt;=マスタ管理!$B$100),計算用!$D19+マスタ管理!$D$100,AND($C19&gt;=$J$11,$E19&lt;=$J$13,$D19&gt;=マスタ管理!$A$101,$D19&lt;=マスタ管理!$B$101),計算用!$D19*マスタ管理!$C$101+マスタ管理!$D$101,AND($C19&gt;=$J$11,$E19&lt;=$J$13,$D19&gt;=マスタ管理!$A$102,$D19&lt;=マスタ管理!$B$102),計算用!$D19*マスタ管理!C107+マスタ管理!$D$102,AND($C19&gt;=$J$11,$E19&lt;=$J$13,$D19&gt;=マスタ管理!$A$103,$D19&lt;=マスタ管理!$B$103),計算用!$D19*マスタ管理!$C$103+マスタ管理!$D$103,AND($C19&gt;=$J$11,$E19&lt;=$J$13,$D19&gt;=マスタ管理!$A$104),計算用!$D19+マスタ管理!$D$101),FALSE),0)</f>
        <v>0</v>
      </c>
      <c r="K19" s="179" t="b">
        <f>IF($D19&gt;=1,IFERROR(_xlfn.IFS(AND($C19&gt;=$K$11,$E19&gt;=$K$12,$E19&lt;=$K$13,計算用!D19&gt;=マスタ管理!$A$111,計算用!$D19&lt;=マスタ管理!$B$111),計算用!$D19+マスタ管理!$D$111,AND($C19&gt;=$K$11,$E19&gt;=$K$12,$E19&lt;=$K$13,計算用!D19&gt;=マスタ管理!$A$112,計算用!$D19&lt;=マスタ管理!$B$112),計算用!$D19*マスタ管理!$C$112+マスタ管理!$D$112,AND($C19&gt;=$K$11,$E19&gt;=$K$12,$E19&lt;=$K$13,計算用!D19&gt;=マスタ管理!$A$113,計算用!$D19&lt;=マスタ管理!$B$113),計算用!$D19*マスタ管理!$C$113+マスタ管理!$D$113,AND($C19&gt;=$K$11,$E19&gt;=$K$12,$E19&lt;=$K$13,計算用!$D19&gt;=マスタ管理!$A$114,計算用!$D19&lt;=マスタ管理!$B$114),計算用!$D19*マスタ管理!$C$114+マスタ管理!$D$114,AND($C19&gt;=$K$11,$E19&gt;=$K$12,$E19&lt;=$K$13,計算用!$D19&gt;=マスタ管理!$A$115),計算用!$D19+マスタ管理!$D$115),FALSE),0)</f>
        <v>0</v>
      </c>
      <c r="L19" s="179" t="b">
        <f>IF($D19&gt;=1,IFERROR(_xlfn.IFS(AND($C19&gt;=$L$11,$E19&gt;=$L$12,$D19&gt;=マスタ管理!$A$121,$D19&lt;=マスタ管理!$B$121),$D19+マスタ管理!$D$121,AND($C19&gt;=$L$11,$E19&gt;=$L$12,$D19&gt;=マスタ管理!$A$122,$D19&lt;=マスタ管理!$B$122),$D19*マスタ管理!$C$122+マスタ管理!$D$122,AND($C19&gt;=$L$11,$E19&gt;=$L$12,$D19&gt;=マスタ管理!$A$123,$D19&lt;=マスタ管理!$B$123),$D19*マスタ管理!$C$123+マスタ管理!$D$123,AND($C19&gt;=$L$11,$E19&gt;=$L$12,$D19&gt;=マスタ管理!$A$124,$D19&lt;=マスタ管理!$B$124),$D19*マスタ管理!$C$124+マスタ管理!$D$124,AND($C19&gt;=$L$11,$E19&gt;=$L$12,$D19&gt;=マスタ管理!$A$125),$D19+マスタ管理!$D$125),FALSE),0)</f>
        <v>0</v>
      </c>
      <c r="M19" s="187"/>
    </row>
  </sheetData>
  <mergeCells count="5">
    <mergeCell ref="A10:A13"/>
    <mergeCell ref="B10:B13"/>
    <mergeCell ref="C10:C13"/>
    <mergeCell ref="D10:D13"/>
    <mergeCell ref="E10:E1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I126"/>
  <sheetViews>
    <sheetView view="pageBreakPreview" topLeftCell="A10" zoomScale="115" zoomScaleSheetLayoutView="115" workbookViewId="0">
      <selection activeCell="D28" sqref="D28"/>
    </sheetView>
  </sheetViews>
  <sheetFormatPr defaultColWidth="8.8984375" defaultRowHeight="13.2"/>
  <cols>
    <col min="1" max="1" width="17.19921875" style="152" customWidth="1"/>
    <col min="2" max="2" width="18.69921875" style="152" customWidth="1"/>
    <col min="3" max="3" width="19.09765625" style="152" customWidth="1"/>
    <col min="4" max="5" width="12.8984375" style="152" bestFit="1" customWidth="1"/>
    <col min="6" max="16384" width="8.8984375" style="152"/>
  </cols>
  <sheetData>
    <row r="1" spans="1:7" ht="16.2">
      <c r="A1" s="203" t="s">
        <v>76</v>
      </c>
    </row>
    <row r="3" spans="1:7">
      <c r="G3" s="207"/>
    </row>
    <row r="8" spans="1:7">
      <c r="A8" s="152" t="s">
        <v>83</v>
      </c>
    </row>
    <row r="9" spans="1:7">
      <c r="A9" s="204" t="s">
        <v>92</v>
      </c>
      <c r="B9" s="204"/>
      <c r="C9" s="204"/>
      <c r="D9" s="204"/>
      <c r="E9" s="204"/>
    </row>
    <row r="10" spans="1:7">
      <c r="A10" s="205" t="s">
        <v>12</v>
      </c>
      <c r="B10" s="205" t="s">
        <v>4</v>
      </c>
      <c r="C10" s="205" t="s">
        <v>35</v>
      </c>
      <c r="D10" s="205" t="s">
        <v>141</v>
      </c>
      <c r="E10" s="205"/>
    </row>
    <row r="11" spans="1:7">
      <c r="A11" s="206" t="s">
        <v>42</v>
      </c>
      <c r="B11" s="214">
        <v>7.0000000000000007e-002</v>
      </c>
      <c r="C11" s="207">
        <v>0</v>
      </c>
      <c r="D11" s="207">
        <v>75</v>
      </c>
    </row>
    <row r="12" spans="1:7">
      <c r="A12" s="206" t="s">
        <v>78</v>
      </c>
      <c r="B12" s="214">
        <v>2.3e-002</v>
      </c>
      <c r="C12" s="152">
        <f>C11</f>
        <v>0</v>
      </c>
      <c r="D12" s="152">
        <f>D11</f>
        <v>75</v>
      </c>
    </row>
    <row r="13" spans="1:7">
      <c r="A13" s="206" t="s">
        <v>79</v>
      </c>
      <c r="B13" s="214">
        <v>2.e-002</v>
      </c>
      <c r="C13" s="207">
        <v>40</v>
      </c>
      <c r="D13" s="207">
        <v>65</v>
      </c>
    </row>
    <row r="15" spans="1:7">
      <c r="A15" s="204" t="s">
        <v>93</v>
      </c>
      <c r="B15" s="204"/>
      <c r="C15" s="204"/>
      <c r="D15" s="204"/>
      <c r="E15" s="204"/>
    </row>
    <row r="16" spans="1:7">
      <c r="A16" s="205" t="s">
        <v>12</v>
      </c>
      <c r="B16" s="205" t="s">
        <v>143</v>
      </c>
      <c r="C16" s="205" t="s">
        <v>57</v>
      </c>
      <c r="D16" s="205" t="s">
        <v>142</v>
      </c>
      <c r="E16" s="205" t="s">
        <v>112</v>
      </c>
    </row>
    <row r="17" spans="1:9">
      <c r="A17" s="206" t="s">
        <v>42</v>
      </c>
      <c r="B17" s="215">
        <v>22200</v>
      </c>
      <c r="C17" s="209">
        <f>B17*30%</f>
        <v>6660</v>
      </c>
      <c r="D17" s="209">
        <f>B17*50%</f>
        <v>11100</v>
      </c>
      <c r="E17" s="209">
        <f>B17*80%</f>
        <v>17760</v>
      </c>
    </row>
    <row r="18" spans="1:9">
      <c r="A18" s="206" t="s">
        <v>78</v>
      </c>
      <c r="B18" s="215">
        <v>11400</v>
      </c>
      <c r="C18" s="209">
        <f>B18*30%</f>
        <v>3420</v>
      </c>
      <c r="D18" s="209">
        <f>B18*50%</f>
        <v>5700</v>
      </c>
      <c r="E18" s="209">
        <f>B18*80%</f>
        <v>9120</v>
      </c>
    </row>
    <row r="19" spans="1:9">
      <c r="A19" s="206" t="s">
        <v>79</v>
      </c>
      <c r="B19" s="215">
        <v>13800</v>
      </c>
      <c r="C19" s="209">
        <f>B19*30%</f>
        <v>4140</v>
      </c>
      <c r="D19" s="209">
        <f>B19*50%</f>
        <v>6900</v>
      </c>
      <c r="E19" s="209">
        <f>B19*80%</f>
        <v>11040</v>
      </c>
    </row>
    <row r="20" spans="1:9">
      <c r="I20" s="222"/>
    </row>
    <row r="21" spans="1:9">
      <c r="A21" s="204" t="s">
        <v>94</v>
      </c>
      <c r="B21" s="204"/>
      <c r="C21" s="204"/>
      <c r="D21" s="204"/>
      <c r="E21" s="204"/>
    </row>
    <row r="22" spans="1:9">
      <c r="A22" s="205" t="s">
        <v>12</v>
      </c>
      <c r="B22" s="205" t="str">
        <f>B16</f>
        <v>軽減なし</v>
      </c>
      <c r="C22" s="205" t="str">
        <f>C16</f>
        <v>7割軽減</v>
      </c>
      <c r="D22" s="205" t="str">
        <f>D16</f>
        <v>5割軽減</v>
      </c>
      <c r="E22" s="205" t="str">
        <f>E16</f>
        <v>2割軽減</v>
      </c>
    </row>
    <row r="23" spans="1:9">
      <c r="A23" s="206" t="s">
        <v>42</v>
      </c>
      <c r="B23" s="215">
        <v>27000</v>
      </c>
      <c r="C23" s="209">
        <f>B23*30%</f>
        <v>8100</v>
      </c>
      <c r="D23" s="209">
        <f>B23*50%</f>
        <v>13500</v>
      </c>
      <c r="E23" s="209">
        <f>B23*80%</f>
        <v>21600</v>
      </c>
    </row>
    <row r="25" spans="1:9">
      <c r="A25" s="204" t="s">
        <v>95</v>
      </c>
      <c r="B25" s="204"/>
      <c r="C25" s="204"/>
      <c r="D25" s="204"/>
      <c r="E25" s="204"/>
      <c r="F25" s="204"/>
    </row>
    <row r="26" spans="1:9">
      <c r="A26" s="205" t="s">
        <v>98</v>
      </c>
      <c r="B26" s="205" t="s">
        <v>81</v>
      </c>
      <c r="C26" s="205"/>
      <c r="D26" s="205"/>
      <c r="E26" s="205"/>
      <c r="F26" s="205"/>
    </row>
    <row r="27" spans="1:9">
      <c r="A27" s="152" t="s">
        <v>100</v>
      </c>
      <c r="B27" s="208">
        <v>430000</v>
      </c>
      <c r="C27" s="217" t="s">
        <v>96</v>
      </c>
      <c r="D27" s="208">
        <v>100000</v>
      </c>
      <c r="E27" s="217"/>
    </row>
    <row r="28" spans="1:9">
      <c r="A28" s="152" t="s">
        <v>99</v>
      </c>
      <c r="B28" s="209">
        <f>$B$27</f>
        <v>430000</v>
      </c>
      <c r="C28" s="217" t="s">
        <v>96</v>
      </c>
      <c r="D28" s="209">
        <f>$D$27</f>
        <v>100000</v>
      </c>
      <c r="E28" s="217" t="s">
        <v>97</v>
      </c>
      <c r="F28" s="208">
        <v>290000</v>
      </c>
    </row>
    <row r="29" spans="1:9">
      <c r="A29" s="152" t="s">
        <v>102</v>
      </c>
      <c r="B29" s="209">
        <f>$B$27</f>
        <v>430000</v>
      </c>
      <c r="C29" s="217" t="s">
        <v>96</v>
      </c>
      <c r="D29" s="209">
        <f>$D$27</f>
        <v>100000</v>
      </c>
      <c r="E29" s="217" t="s">
        <v>97</v>
      </c>
      <c r="F29" s="208">
        <v>535000</v>
      </c>
    </row>
    <row r="30" spans="1:9">
      <c r="B30" s="209"/>
      <c r="C30" s="217"/>
      <c r="D30" s="209"/>
      <c r="E30" s="217"/>
      <c r="F30" s="209"/>
    </row>
    <row r="31" spans="1:9">
      <c r="A31" s="204" t="s">
        <v>130</v>
      </c>
      <c r="B31" s="204"/>
      <c r="C31" s="204"/>
      <c r="D31" s="204"/>
      <c r="E31" s="204"/>
      <c r="F31" s="204"/>
    </row>
    <row r="32" spans="1:9">
      <c r="A32" s="205" t="s">
        <v>132</v>
      </c>
      <c r="B32" s="205"/>
      <c r="C32" s="205"/>
      <c r="D32" s="205"/>
      <c r="E32" s="205"/>
      <c r="F32" s="205"/>
    </row>
    <row r="33" spans="1:6">
      <c r="A33" s="207">
        <v>65</v>
      </c>
      <c r="B33" s="209" t="s">
        <v>133</v>
      </c>
      <c r="C33" s="217"/>
      <c r="D33" s="209"/>
      <c r="E33" s="217"/>
      <c r="F33" s="209"/>
    </row>
    <row r="34" spans="1:6">
      <c r="A34" s="208">
        <v>150000</v>
      </c>
      <c r="B34" s="209" t="s">
        <v>134</v>
      </c>
      <c r="C34" s="209" t="s">
        <v>135</v>
      </c>
      <c r="D34" s="209"/>
      <c r="E34" s="217"/>
      <c r="F34" s="209"/>
    </row>
    <row r="35" spans="1:6">
      <c r="A35" s="209"/>
      <c r="C35" s="209"/>
    </row>
    <row r="36" spans="1:6">
      <c r="A36" s="204" t="s">
        <v>144</v>
      </c>
      <c r="B36" s="204"/>
      <c r="C36" s="206"/>
      <c r="D36" s="206"/>
      <c r="E36" s="206"/>
    </row>
    <row r="37" spans="1:6">
      <c r="A37" s="205" t="s">
        <v>101</v>
      </c>
      <c r="B37" s="205" t="s">
        <v>131</v>
      </c>
      <c r="C37" s="206"/>
      <c r="D37" s="206"/>
      <c r="E37" s="206"/>
    </row>
    <row r="38" spans="1:6">
      <c r="A38" s="210">
        <v>6</v>
      </c>
      <c r="B38" s="216">
        <v>0.5</v>
      </c>
      <c r="C38" s="206"/>
      <c r="D38" s="206"/>
      <c r="E38" s="206"/>
    </row>
    <row r="39" spans="1:6">
      <c r="A39" s="209"/>
      <c r="C39" s="209"/>
    </row>
    <row r="40" spans="1:6">
      <c r="A40" s="204" t="s">
        <v>89</v>
      </c>
      <c r="B40" s="204"/>
      <c r="C40" s="206"/>
      <c r="D40" s="206"/>
      <c r="E40" s="206"/>
    </row>
    <row r="41" spans="1:6">
      <c r="A41" s="205" t="s">
        <v>12</v>
      </c>
      <c r="B41" s="205" t="s">
        <v>77</v>
      </c>
      <c r="C41" s="206"/>
      <c r="D41" s="206"/>
      <c r="E41" s="206"/>
    </row>
    <row r="42" spans="1:6">
      <c r="A42" s="206" t="s">
        <v>42</v>
      </c>
      <c r="B42" s="211">
        <v>650000</v>
      </c>
      <c r="C42" s="206"/>
      <c r="D42" s="206"/>
      <c r="E42" s="206"/>
    </row>
    <row r="43" spans="1:6">
      <c r="A43" s="206" t="s">
        <v>78</v>
      </c>
      <c r="B43" s="211">
        <v>220000</v>
      </c>
      <c r="C43" s="206"/>
      <c r="D43" s="206"/>
      <c r="E43" s="206"/>
    </row>
    <row r="44" spans="1:6">
      <c r="A44" s="206" t="s">
        <v>79</v>
      </c>
      <c r="B44" s="211">
        <v>170000</v>
      </c>
      <c r="C44" s="206"/>
      <c r="D44" s="206"/>
      <c r="E44" s="206"/>
    </row>
    <row r="45" spans="1:6">
      <c r="A45" s="206" t="s">
        <v>80</v>
      </c>
      <c r="B45" s="206">
        <f>SUM(B42:B44)</f>
        <v>1040000</v>
      </c>
      <c r="C45" s="206"/>
      <c r="D45" s="206"/>
      <c r="E45" s="206"/>
    </row>
    <row r="46" spans="1:6">
      <c r="A46" s="206"/>
      <c r="B46" s="206"/>
      <c r="C46" s="206"/>
      <c r="D46" s="206"/>
      <c r="E46" s="206"/>
    </row>
    <row r="47" spans="1:6">
      <c r="A47" s="204" t="s">
        <v>90</v>
      </c>
      <c r="B47" s="204" t="s">
        <v>82</v>
      </c>
      <c r="C47" s="204"/>
      <c r="D47" s="204"/>
      <c r="E47" s="206"/>
    </row>
    <row r="48" spans="1:6">
      <c r="A48" s="205" t="s">
        <v>84</v>
      </c>
      <c r="B48" s="205" t="s">
        <v>85</v>
      </c>
      <c r="C48" s="205" t="s">
        <v>81</v>
      </c>
      <c r="D48" s="205"/>
      <c r="E48" s="206"/>
    </row>
    <row r="49" spans="1:8">
      <c r="A49" s="211">
        <v>0</v>
      </c>
      <c r="B49" s="211">
        <v>550999</v>
      </c>
      <c r="C49" s="207"/>
      <c r="D49" s="221">
        <v>0</v>
      </c>
      <c r="E49" s="206"/>
    </row>
    <row r="50" spans="1:8">
      <c r="A50" s="211">
        <v>551000</v>
      </c>
      <c r="B50" s="211">
        <v>1618999</v>
      </c>
      <c r="C50" s="207"/>
      <c r="D50" s="221">
        <v>-550000</v>
      </c>
      <c r="E50" s="206"/>
    </row>
    <row r="51" spans="1:8">
      <c r="A51" s="211">
        <v>1619000</v>
      </c>
      <c r="B51" s="211">
        <v>1619999</v>
      </c>
      <c r="C51" s="207"/>
      <c r="D51" s="221">
        <v>1069000</v>
      </c>
      <c r="E51" s="206"/>
      <c r="H51" s="209"/>
    </row>
    <row r="52" spans="1:8">
      <c r="A52" s="211">
        <v>1620000</v>
      </c>
      <c r="B52" s="211">
        <v>1621999</v>
      </c>
      <c r="C52" s="207"/>
      <c r="D52" s="221">
        <v>1070000</v>
      </c>
      <c r="E52" s="206"/>
      <c r="H52" s="209"/>
    </row>
    <row r="53" spans="1:8">
      <c r="A53" s="211">
        <v>1622000</v>
      </c>
      <c r="B53" s="211">
        <v>1623999</v>
      </c>
      <c r="C53" s="207"/>
      <c r="D53" s="221">
        <v>1072000</v>
      </c>
      <c r="E53" s="206"/>
    </row>
    <row r="54" spans="1:8">
      <c r="A54" s="211">
        <v>1624000</v>
      </c>
      <c r="B54" s="211">
        <v>1627999</v>
      </c>
      <c r="C54" s="207"/>
      <c r="D54" s="221">
        <v>1074000</v>
      </c>
      <c r="E54" s="206"/>
      <c r="H54" s="209"/>
    </row>
    <row r="55" spans="1:8">
      <c r="A55" s="211">
        <v>1628000</v>
      </c>
      <c r="B55" s="211">
        <v>1799999</v>
      </c>
      <c r="C55" s="218">
        <v>2.4</v>
      </c>
      <c r="D55" s="211">
        <v>100000</v>
      </c>
      <c r="E55" s="206"/>
      <c r="H55" s="209"/>
    </row>
    <row r="56" spans="1:8">
      <c r="A56" s="211">
        <v>1800000</v>
      </c>
      <c r="B56" s="211">
        <v>3599999</v>
      </c>
      <c r="C56" s="218">
        <v>2.8</v>
      </c>
      <c r="D56" s="211">
        <v>-80000</v>
      </c>
      <c r="E56" s="206"/>
      <c r="H56" s="209"/>
    </row>
    <row r="57" spans="1:8">
      <c r="A57" s="211">
        <v>3600000</v>
      </c>
      <c r="B57" s="211">
        <v>6599999</v>
      </c>
      <c r="C57" s="218">
        <v>3.2</v>
      </c>
      <c r="D57" s="211">
        <v>-440000</v>
      </c>
      <c r="E57" s="206"/>
      <c r="H57" s="209"/>
    </row>
    <row r="58" spans="1:8">
      <c r="A58" s="211">
        <v>6600000</v>
      </c>
      <c r="B58" s="211">
        <v>8499999</v>
      </c>
      <c r="C58" s="218">
        <v>0.9</v>
      </c>
      <c r="D58" s="211">
        <v>-1100000</v>
      </c>
      <c r="E58" s="206"/>
      <c r="H58" s="209"/>
    </row>
    <row r="59" spans="1:8">
      <c r="A59" s="211">
        <v>8500000</v>
      </c>
      <c r="B59" s="211"/>
      <c r="C59" s="207"/>
      <c r="D59" s="221">
        <v>1950000</v>
      </c>
      <c r="G59" s="209"/>
    </row>
    <row r="60" spans="1:8">
      <c r="A60" s="206"/>
      <c r="B60" s="206"/>
      <c r="D60" s="212"/>
      <c r="G60" s="209"/>
    </row>
    <row r="61" spans="1:8">
      <c r="A61" s="204" t="s">
        <v>148</v>
      </c>
      <c r="B61" s="204" t="s">
        <v>82</v>
      </c>
      <c r="C61" s="204"/>
      <c r="D61" s="204"/>
      <c r="E61" s="206"/>
    </row>
    <row r="62" spans="1:8" s="152" customFormat="1">
      <c r="A62" s="206" t="s">
        <v>138</v>
      </c>
      <c r="B62" s="206"/>
      <c r="C62" s="206"/>
      <c r="D62" s="206"/>
      <c r="E62" s="206"/>
    </row>
    <row r="63" spans="1:8">
      <c r="A63" s="206" t="s">
        <v>139</v>
      </c>
      <c r="B63" s="211">
        <v>100000</v>
      </c>
      <c r="C63" s="152" t="s">
        <v>146</v>
      </c>
      <c r="D63" s="212"/>
      <c r="G63" s="209"/>
    </row>
    <row r="64" spans="1:8">
      <c r="A64" s="212" t="s">
        <v>147</v>
      </c>
      <c r="B64" s="211">
        <f>B63</f>
        <v>100000</v>
      </c>
      <c r="C64" s="152" t="s">
        <v>140</v>
      </c>
      <c r="D64" s="212"/>
      <c r="G64" s="209"/>
    </row>
    <row r="65" spans="1:4">
      <c r="A65" s="204" t="s">
        <v>91</v>
      </c>
      <c r="B65" s="204" t="s">
        <v>82</v>
      </c>
      <c r="C65" s="204"/>
      <c r="D65" s="204"/>
    </row>
    <row r="66" spans="1:4">
      <c r="A66" s="211">
        <v>64</v>
      </c>
      <c r="B66" s="206" t="s">
        <v>122</v>
      </c>
      <c r="C66" s="219"/>
      <c r="D66" s="219"/>
    </row>
    <row r="67" spans="1:4">
      <c r="A67" s="211">
        <v>10000000</v>
      </c>
      <c r="B67" s="206" t="s">
        <v>129</v>
      </c>
      <c r="C67" s="219"/>
      <c r="D67" s="219"/>
    </row>
    <row r="68" spans="1:4">
      <c r="A68" s="205" t="s">
        <v>7</v>
      </c>
      <c r="B68" s="205" t="s">
        <v>86</v>
      </c>
      <c r="C68" s="205"/>
      <c r="D68" s="205"/>
    </row>
    <row r="69" spans="1:4">
      <c r="A69" s="211">
        <v>0</v>
      </c>
      <c r="B69" s="211">
        <v>1299999</v>
      </c>
      <c r="C69" s="207"/>
      <c r="D69" s="211">
        <f>-600000</f>
        <v>-600000</v>
      </c>
    </row>
    <row r="70" spans="1:4">
      <c r="A70" s="211">
        <v>1300000</v>
      </c>
      <c r="B70" s="211">
        <v>4099999</v>
      </c>
      <c r="C70" s="220">
        <v>0.75</v>
      </c>
      <c r="D70" s="213">
        <v>-275000</v>
      </c>
    </row>
    <row r="71" spans="1:4">
      <c r="A71" s="211">
        <v>4100000</v>
      </c>
      <c r="B71" s="211">
        <v>7699999</v>
      </c>
      <c r="C71" s="220">
        <v>0.85</v>
      </c>
      <c r="D71" s="213">
        <v>-685000</v>
      </c>
    </row>
    <row r="72" spans="1:4">
      <c r="A72" s="211">
        <v>7700000</v>
      </c>
      <c r="B72" s="211">
        <v>9999999</v>
      </c>
      <c r="C72" s="220">
        <v>0.95</v>
      </c>
      <c r="D72" s="213">
        <v>-1455000</v>
      </c>
    </row>
    <row r="73" spans="1:4">
      <c r="A73" s="211">
        <v>10000000</v>
      </c>
      <c r="B73" s="211"/>
      <c r="C73" s="207"/>
      <c r="D73" s="211">
        <v>-1950000</v>
      </c>
    </row>
    <row r="74" spans="1:4">
      <c r="A74" s="206"/>
      <c r="B74" s="206"/>
      <c r="D74" s="206"/>
    </row>
    <row r="75" spans="1:4">
      <c r="A75" s="204" t="s">
        <v>91</v>
      </c>
      <c r="B75" s="204" t="s">
        <v>82</v>
      </c>
      <c r="C75" s="204"/>
      <c r="D75" s="204"/>
    </row>
    <row r="76" spans="1:4">
      <c r="A76" s="211">
        <v>64</v>
      </c>
      <c r="B76" s="206" t="s">
        <v>122</v>
      </c>
      <c r="C76" s="219"/>
      <c r="D76" s="219"/>
    </row>
    <row r="77" spans="1:4">
      <c r="A77" s="211">
        <v>10000001</v>
      </c>
      <c r="B77" s="206" t="s">
        <v>128</v>
      </c>
    </row>
    <row r="78" spans="1:4">
      <c r="A78" s="208">
        <v>20000000</v>
      </c>
      <c r="B78" s="209" t="s">
        <v>129</v>
      </c>
      <c r="C78" s="209"/>
      <c r="D78" s="209"/>
    </row>
    <row r="79" spans="1:4">
      <c r="A79" s="205" t="s">
        <v>7</v>
      </c>
      <c r="B79" s="205" t="s">
        <v>86</v>
      </c>
      <c r="C79" s="205"/>
      <c r="D79" s="205"/>
    </row>
    <row r="80" spans="1:4">
      <c r="A80" s="213">
        <f>$A$69</f>
        <v>0</v>
      </c>
      <c r="B80" s="213">
        <f>$B$69</f>
        <v>1299999</v>
      </c>
      <c r="C80" s="207" t="str">
        <f>IF(C69="","",C69)</f>
        <v/>
      </c>
      <c r="D80" s="211">
        <f>D69+100000</f>
        <v>-500000</v>
      </c>
    </row>
    <row r="81" spans="1:4">
      <c r="A81" s="213">
        <f>$A$70</f>
        <v>1300000</v>
      </c>
      <c r="B81" s="213">
        <f>$B$70</f>
        <v>4099999</v>
      </c>
      <c r="C81" s="207">
        <f>IF(C70="","",C70)</f>
        <v>0.75</v>
      </c>
      <c r="D81" s="211">
        <f>D70+100000</f>
        <v>-175000</v>
      </c>
    </row>
    <row r="82" spans="1:4">
      <c r="A82" s="213">
        <f>$A$71</f>
        <v>4100000</v>
      </c>
      <c r="B82" s="213">
        <f>$B$71</f>
        <v>7699999</v>
      </c>
      <c r="C82" s="207">
        <f>IF(C71="","",C71)</f>
        <v>0.85</v>
      </c>
      <c r="D82" s="211">
        <f>D71+100000</f>
        <v>-585000</v>
      </c>
    </row>
    <row r="83" spans="1:4">
      <c r="A83" s="213">
        <f>$A$72</f>
        <v>7700000</v>
      </c>
      <c r="B83" s="213">
        <f>$B$72</f>
        <v>9999999</v>
      </c>
      <c r="C83" s="207">
        <f>IF(C72="","",C72)</f>
        <v>0.95</v>
      </c>
      <c r="D83" s="211">
        <f>D72+100000</f>
        <v>-1355000</v>
      </c>
    </row>
    <row r="84" spans="1:4">
      <c r="A84" s="213">
        <f>$A$73</f>
        <v>10000000</v>
      </c>
      <c r="B84" s="213"/>
      <c r="C84" s="207" t="str">
        <f>IF(C73="","",C73)</f>
        <v/>
      </c>
      <c r="D84" s="211">
        <f>D73+100000</f>
        <v>-1850000</v>
      </c>
    </row>
    <row r="86" spans="1:4">
      <c r="A86" s="204" t="s">
        <v>91</v>
      </c>
      <c r="B86" s="204" t="s">
        <v>82</v>
      </c>
      <c r="C86" s="204"/>
      <c r="D86" s="204"/>
    </row>
    <row r="87" spans="1:4">
      <c r="A87" s="211">
        <v>64</v>
      </c>
      <c r="B87" s="206" t="s">
        <v>122</v>
      </c>
      <c r="C87" s="219"/>
      <c r="D87" s="219"/>
    </row>
    <row r="88" spans="1:4">
      <c r="A88" s="211">
        <v>20000001</v>
      </c>
      <c r="B88" s="206" t="s">
        <v>128</v>
      </c>
      <c r="C88" s="209"/>
      <c r="D88" s="209"/>
    </row>
    <row r="89" spans="1:4">
      <c r="A89" s="205" t="s">
        <v>7</v>
      </c>
      <c r="B89" s="205" t="s">
        <v>86</v>
      </c>
      <c r="C89" s="205" t="s">
        <v>88</v>
      </c>
      <c r="D89" s="205"/>
    </row>
    <row r="90" spans="1:4">
      <c r="A90" s="213">
        <f>$A$69</f>
        <v>0</v>
      </c>
      <c r="B90" s="213">
        <f>$B$69</f>
        <v>1299999</v>
      </c>
      <c r="C90" s="207" t="str">
        <f>IF(C80="","",C80)</f>
        <v/>
      </c>
      <c r="D90" s="211">
        <f>D69+200000</f>
        <v>-400000</v>
      </c>
    </row>
    <row r="91" spans="1:4">
      <c r="A91" s="213">
        <f>$A$70</f>
        <v>1300000</v>
      </c>
      <c r="B91" s="213">
        <f>$B$70</f>
        <v>4099999</v>
      </c>
      <c r="C91" s="207">
        <f>IF(C81="","",C81)</f>
        <v>0.75</v>
      </c>
      <c r="D91" s="211">
        <f>D70+200000</f>
        <v>-75000</v>
      </c>
    </row>
    <row r="92" spans="1:4">
      <c r="A92" s="213">
        <f>$A$71</f>
        <v>4100000</v>
      </c>
      <c r="B92" s="213">
        <f>$B$71</f>
        <v>7699999</v>
      </c>
      <c r="C92" s="207">
        <f>IF(C82="","",C82)</f>
        <v>0.85</v>
      </c>
      <c r="D92" s="211">
        <f>D71+200000</f>
        <v>-485000</v>
      </c>
    </row>
    <row r="93" spans="1:4">
      <c r="A93" s="213">
        <f>$A$72</f>
        <v>7700000</v>
      </c>
      <c r="B93" s="213">
        <f>$B$72</f>
        <v>9999999</v>
      </c>
      <c r="C93" s="207">
        <f>IF(C83="","",C83)</f>
        <v>0.95</v>
      </c>
      <c r="D93" s="211">
        <f>D72+200000</f>
        <v>-1255000</v>
      </c>
    </row>
    <row r="94" spans="1:4">
      <c r="A94" s="213">
        <f>$A$73</f>
        <v>10000000</v>
      </c>
      <c r="B94" s="213"/>
      <c r="C94" s="207" t="str">
        <f>IF(C84="","",C84)</f>
        <v/>
      </c>
      <c r="D94" s="211">
        <f>D73+200000</f>
        <v>-1750000</v>
      </c>
    </row>
    <row r="96" spans="1:4">
      <c r="A96" s="204" t="s">
        <v>91</v>
      </c>
      <c r="B96" s="204" t="s">
        <v>82</v>
      </c>
      <c r="C96" s="204"/>
      <c r="D96" s="204"/>
    </row>
    <row r="97" spans="1:5">
      <c r="A97" s="211">
        <v>65</v>
      </c>
      <c r="B97" s="206" t="s">
        <v>123</v>
      </c>
      <c r="C97" s="219"/>
      <c r="D97" s="219"/>
      <c r="E97" s="219"/>
    </row>
    <row r="98" spans="1:5">
      <c r="A98" s="211">
        <f>A67</f>
        <v>10000000</v>
      </c>
      <c r="B98" s="206" t="str">
        <f>B67</f>
        <v>円以下</v>
      </c>
      <c r="C98" s="219"/>
      <c r="D98" s="219"/>
      <c r="E98" s="219"/>
    </row>
    <row r="99" spans="1:5">
      <c r="A99" s="205" t="s">
        <v>7</v>
      </c>
      <c r="B99" s="205" t="s">
        <v>86</v>
      </c>
      <c r="C99" s="205"/>
      <c r="D99" s="205"/>
    </row>
    <row r="100" spans="1:5">
      <c r="A100" s="211">
        <v>0</v>
      </c>
      <c r="B100" s="211">
        <v>3299999</v>
      </c>
      <c r="C100" s="207"/>
      <c r="D100" s="211">
        <v>-1100000</v>
      </c>
    </row>
    <row r="101" spans="1:5">
      <c r="A101" s="211">
        <v>3300000</v>
      </c>
      <c r="B101" s="211">
        <v>4099999</v>
      </c>
      <c r="C101" s="207">
        <v>0.75</v>
      </c>
      <c r="D101" s="221">
        <f>-275000</f>
        <v>-275000</v>
      </c>
    </row>
    <row r="102" spans="1:5">
      <c r="A102" s="211">
        <v>4100000</v>
      </c>
      <c r="B102" s="211">
        <v>7699999</v>
      </c>
      <c r="C102" s="207">
        <v>0.85</v>
      </c>
      <c r="D102" s="221">
        <v>-685000</v>
      </c>
    </row>
    <row r="103" spans="1:5">
      <c r="A103" s="211">
        <v>7700000</v>
      </c>
      <c r="B103" s="211">
        <v>9999999</v>
      </c>
      <c r="C103" s="207">
        <v>0.95</v>
      </c>
      <c r="D103" s="221">
        <v>-1455000</v>
      </c>
    </row>
    <row r="104" spans="1:5">
      <c r="A104" s="211">
        <v>10000000</v>
      </c>
      <c r="B104" s="211"/>
      <c r="C104" s="207"/>
      <c r="D104" s="211">
        <v>-1950000</v>
      </c>
    </row>
    <row r="106" spans="1:5">
      <c r="A106" s="204" t="s">
        <v>91</v>
      </c>
      <c r="B106" s="204" t="s">
        <v>82</v>
      </c>
      <c r="C106" s="204"/>
      <c r="D106" s="204"/>
    </row>
    <row r="107" spans="1:5">
      <c r="A107" s="211">
        <v>65</v>
      </c>
      <c r="B107" s="206" t="s">
        <v>123</v>
      </c>
      <c r="C107" s="219"/>
      <c r="D107" s="219"/>
      <c r="E107" s="219"/>
    </row>
    <row r="108" spans="1:5">
      <c r="A108" s="211">
        <f>A77</f>
        <v>10000001</v>
      </c>
      <c r="B108" s="206" t="str">
        <f>B77</f>
        <v>円以上</v>
      </c>
      <c r="E108" s="219"/>
    </row>
    <row r="109" spans="1:5">
      <c r="A109" s="211">
        <f>A78</f>
        <v>20000000</v>
      </c>
      <c r="B109" s="206" t="str">
        <f>B78</f>
        <v>円以下</v>
      </c>
    </row>
    <row r="110" spans="1:5">
      <c r="A110" s="205" t="s">
        <v>7</v>
      </c>
      <c r="B110" s="205" t="s">
        <v>86</v>
      </c>
      <c r="C110" s="205" t="s">
        <v>87</v>
      </c>
      <c r="D110" s="205"/>
    </row>
    <row r="111" spans="1:5">
      <c r="A111" s="213">
        <f>$A$100</f>
        <v>0</v>
      </c>
      <c r="B111" s="213">
        <f>$B$100</f>
        <v>3299999</v>
      </c>
      <c r="C111" s="207" t="str">
        <f t="shared" ref="C111:C116" si="0">IF(C100="","",C100)</f>
        <v/>
      </c>
      <c r="D111" s="211">
        <f>D100+100000</f>
        <v>-1000000</v>
      </c>
    </row>
    <row r="112" spans="1:5">
      <c r="A112" s="213">
        <f>$A$101</f>
        <v>3300000</v>
      </c>
      <c r="B112" s="213">
        <f>$B$101</f>
        <v>4099999</v>
      </c>
      <c r="C112" s="207">
        <f t="shared" si="0"/>
        <v>0.75</v>
      </c>
      <c r="D112" s="211">
        <f>D101+100000</f>
        <v>-175000</v>
      </c>
    </row>
    <row r="113" spans="1:5">
      <c r="A113" s="213">
        <f>$A$102</f>
        <v>4100000</v>
      </c>
      <c r="B113" s="213">
        <f>$B$102</f>
        <v>7699999</v>
      </c>
      <c r="C113" s="207">
        <f t="shared" si="0"/>
        <v>0.85</v>
      </c>
      <c r="D113" s="211">
        <f>D102+100000</f>
        <v>-585000</v>
      </c>
    </row>
    <row r="114" spans="1:5">
      <c r="A114" s="213">
        <f>$A$103</f>
        <v>7700000</v>
      </c>
      <c r="B114" s="213">
        <f>$B$103</f>
        <v>9999999</v>
      </c>
      <c r="C114" s="207">
        <f t="shared" si="0"/>
        <v>0.95</v>
      </c>
      <c r="D114" s="211">
        <f>D103+100000</f>
        <v>-1355000</v>
      </c>
    </row>
    <row r="115" spans="1:5">
      <c r="A115" s="213">
        <f>$A$104</f>
        <v>10000000</v>
      </c>
      <c r="B115" s="213"/>
      <c r="C115" s="207" t="str">
        <f t="shared" si="0"/>
        <v/>
      </c>
      <c r="D115" s="211">
        <f>D104+100000</f>
        <v>-1850000</v>
      </c>
    </row>
    <row r="116" spans="1:5">
      <c r="C116" s="152" t="str">
        <f t="shared" si="0"/>
        <v/>
      </c>
    </row>
    <row r="117" spans="1:5">
      <c r="A117" s="204" t="s">
        <v>91</v>
      </c>
      <c r="B117" s="204" t="s">
        <v>82</v>
      </c>
      <c r="C117" s="204"/>
      <c r="D117" s="204"/>
      <c r="E117" s="219"/>
    </row>
    <row r="118" spans="1:5">
      <c r="A118" s="211">
        <v>65</v>
      </c>
      <c r="B118" s="206" t="s">
        <v>123</v>
      </c>
      <c r="C118" s="219"/>
      <c r="D118" s="219"/>
      <c r="E118" s="219"/>
    </row>
    <row r="119" spans="1:5">
      <c r="A119" s="211">
        <f>A88</f>
        <v>20000001</v>
      </c>
      <c r="B119" s="206" t="str">
        <f>B88</f>
        <v>円以上</v>
      </c>
      <c r="C119" s="206"/>
      <c r="D119" s="206"/>
    </row>
    <row r="120" spans="1:5">
      <c r="A120" s="205" t="s">
        <v>7</v>
      </c>
      <c r="B120" s="205" t="s">
        <v>86</v>
      </c>
      <c r="C120" s="205" t="s">
        <v>88</v>
      </c>
      <c r="D120" s="205"/>
    </row>
    <row r="121" spans="1:5">
      <c r="A121" s="213">
        <f>$A$100</f>
        <v>0</v>
      </c>
      <c r="B121" s="213">
        <f>$B$100</f>
        <v>3299999</v>
      </c>
      <c r="C121" s="207" t="str">
        <f t="shared" ref="C121:C126" si="1">IF(C111="","",C111)</f>
        <v/>
      </c>
      <c r="D121" s="211">
        <f>D100+200000</f>
        <v>-900000</v>
      </c>
    </row>
    <row r="122" spans="1:5">
      <c r="A122" s="213">
        <f>$A$101</f>
        <v>3300000</v>
      </c>
      <c r="B122" s="213">
        <f>$B$101</f>
        <v>4099999</v>
      </c>
      <c r="C122" s="207">
        <f t="shared" si="1"/>
        <v>0.75</v>
      </c>
      <c r="D122" s="211">
        <f>D101+200000</f>
        <v>-75000</v>
      </c>
    </row>
    <row r="123" spans="1:5">
      <c r="A123" s="213">
        <f>$A$102</f>
        <v>4100000</v>
      </c>
      <c r="B123" s="213">
        <f>$B$102</f>
        <v>7699999</v>
      </c>
      <c r="C123" s="207">
        <f t="shared" si="1"/>
        <v>0.85</v>
      </c>
      <c r="D123" s="211">
        <f>D102+200000</f>
        <v>-485000</v>
      </c>
    </row>
    <row r="124" spans="1:5">
      <c r="A124" s="213">
        <f>$A$103</f>
        <v>7700000</v>
      </c>
      <c r="B124" s="213">
        <f>$B$103</f>
        <v>9999999</v>
      </c>
      <c r="C124" s="207">
        <f t="shared" si="1"/>
        <v>0.95</v>
      </c>
      <c r="D124" s="211">
        <f>D103+200000</f>
        <v>-1255000</v>
      </c>
    </row>
    <row r="125" spans="1:5">
      <c r="A125" s="213">
        <f>$A$104</f>
        <v>10000000</v>
      </c>
      <c r="B125" s="213"/>
      <c r="C125" s="207" t="str">
        <f t="shared" si="1"/>
        <v/>
      </c>
      <c r="D125" s="211">
        <f>D104+200000</f>
        <v>-1750000</v>
      </c>
    </row>
    <row r="126" spans="1:5">
      <c r="C126" s="152" t="str">
        <f t="shared" si="1"/>
        <v/>
      </c>
    </row>
  </sheetData>
  <sheetProtection password="CB89" sheet="1" objects="1" scenarios="1"/>
  <phoneticPr fontId="1" type="Hiragana"/>
  <pageMargins left="0.70866141732283472" right="0.70866141732283472" top="0.35433070866141736" bottom="0.35433070866141736" header="0.31496062992125984" footer="0.31496062992125984"/>
  <pageSetup paperSize="9" scale="88" fitToWidth="1" fitToHeight="0" orientation="portrait" usePrinterDefaults="1" r:id="rId1"/>
  <headerFooter>
    <oddFooter>&amp;C&amp;P / &amp;N ページ</oddFooter>
  </headerFooter>
  <rowBreaks count="1" manualBreakCount="1">
    <brk id="64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C3:E5"/>
  <sheetViews>
    <sheetView workbookViewId="0">
      <selection activeCell="G8" sqref="G8"/>
    </sheetView>
  </sheetViews>
  <sheetFormatPr defaultRowHeight="18"/>
  <sheetData>
    <row r="3" spans="3:5">
      <c r="C3" t="s">
        <v>28</v>
      </c>
      <c r="E3" t="s">
        <v>59</v>
      </c>
    </row>
    <row r="4" spans="3:5">
      <c r="C4" t="s">
        <v>2</v>
      </c>
      <c r="E4" t="s">
        <v>60</v>
      </c>
    </row>
    <row r="5" spans="3:5">
      <c r="E5" t="s">
        <v>3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国保税試算表</vt:lpstr>
      <vt:lpstr>各種資料の確認箇所</vt:lpstr>
      <vt:lpstr>計算用</vt:lpstr>
      <vt:lpstr>マスタ管理</vt:lpstr>
      <vt:lpstr>リスト</vt:lpstr>
    </vt:vector>
  </TitlesOfParts>
  <Company>鴨川市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cp:lastPrinted>2022-06-30T01:25:16Z</cp:lastPrinted>
  <dcterms:created xsi:type="dcterms:W3CDTF">2020-04-21T00:13:29Z</dcterms:created>
  <dcterms:modified xsi:type="dcterms:W3CDTF">2023-05-24T08:49:30Z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2023-05-24T08:49:30Z</vt:filetime>
  </property>
</Properties>
</file>